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535" yWindow="-15" windowWidth="15555" windowHeight="8925" tabRatio="841" activeTab="14"/>
  </bookViews>
  <sheets>
    <sheet name="代表値" sheetId="12" r:id="rId1"/>
    <sheet name="修正得点" sheetId="26" r:id="rId2"/>
    <sheet name="相対得点" sheetId="1" r:id="rId3"/>
    <sheet name="卓立得点" sheetId="20" r:id="rId4"/>
    <sheet name="加重得点" sheetId="17" r:id="rId5"/>
    <sheet name="限定得点" sheetId="18" r:id="rId6"/>
    <sheet name="比較得点" sheetId="23" r:id="rId7"/>
    <sheet name="標準得点" sheetId="21" r:id="rId8"/>
    <sheet name="期待得点" sheetId="13" r:id="rId9"/>
    <sheet name="順位得点" sheetId="25" r:id="rId10"/>
    <sheet name="逸脱得点" sheetId="15" r:id="rId11"/>
    <sheet name="類似得点" sheetId="11" r:id="rId12"/>
    <sheet name="相関係数" sheetId="5" r:id="rId13"/>
    <sheet name="類似係数" sheetId="7" r:id="rId14"/>
    <sheet name="χ二乗" sheetId="8" r:id="rId15"/>
  </sheets>
  <definedNames>
    <definedName name="_xlnm._FilterDatabase" localSheetId="12" hidden="1">相関係数!$A$33:$I$33</definedName>
  </definedNames>
  <calcPr calcId="145621"/>
</workbook>
</file>

<file path=xl/calcChain.xml><?xml version="1.0" encoding="utf-8"?>
<calcChain xmlns="http://schemas.openxmlformats.org/spreadsheetml/2006/main">
  <c r="B38" i="8" l="1"/>
  <c r="C38" i="8"/>
  <c r="D36" i="8"/>
  <c r="D37" i="8"/>
  <c r="D38" i="8"/>
  <c r="D32" i="8"/>
  <c r="D31" i="8"/>
  <c r="B14" i="8"/>
  <c r="C16" i="8" l="1"/>
  <c r="B16" i="8"/>
  <c r="B52" i="7" l="1"/>
  <c r="B53" i="7"/>
  <c r="B68" i="7"/>
  <c r="B63" i="7"/>
  <c r="B90" i="7"/>
  <c r="B89" i="7"/>
  <c r="B84" i="7"/>
  <c r="B81" i="7"/>
  <c r="B77" i="7"/>
  <c r="B74" i="7"/>
  <c r="B75" i="7"/>
  <c r="B82" i="7"/>
  <c r="B91" i="7"/>
  <c r="B88" i="7"/>
  <c r="B66" i="7"/>
  <c r="B65" i="7"/>
  <c r="B67" i="7"/>
  <c r="B64" i="7"/>
  <c r="B62" i="7"/>
  <c r="B76" i="7"/>
  <c r="B73" i="7"/>
  <c r="B85" i="7"/>
  <c r="B78" i="7"/>
  <c r="B83" i="7"/>
  <c r="B80" i="7"/>
  <c r="B58" i="7"/>
  <c r="B51" i="7"/>
  <c r="B69" i="7"/>
  <c r="F13" i="26" l="1"/>
  <c r="E13" i="26"/>
  <c r="D13" i="26"/>
  <c r="C13" i="26"/>
  <c r="B13" i="26"/>
  <c r="F12" i="26"/>
  <c r="E12" i="26"/>
  <c r="D12" i="26"/>
  <c r="C12" i="26"/>
  <c r="B12" i="26"/>
  <c r="F11" i="26"/>
  <c r="E11" i="26"/>
  <c r="D11" i="26"/>
  <c r="C11" i="26"/>
  <c r="B11" i="26"/>
  <c r="F10" i="26"/>
  <c r="E10" i="26"/>
  <c r="D10" i="26"/>
  <c r="C10" i="26"/>
  <c r="B10" i="26"/>
  <c r="G8" i="11" l="1"/>
  <c r="F8" i="11"/>
  <c r="F14" i="11" s="1"/>
  <c r="E8" i="11"/>
  <c r="E14" i="11" s="1"/>
  <c r="D8" i="11"/>
  <c r="D14" i="11" s="1"/>
  <c r="C8" i="11"/>
  <c r="C14" i="11" s="1"/>
  <c r="B8" i="11"/>
  <c r="B14" i="11" s="1"/>
  <c r="G7" i="11"/>
  <c r="G6" i="11"/>
  <c r="G5" i="11"/>
  <c r="G4" i="11"/>
  <c r="N4" i="11" l="1"/>
  <c r="M4" i="11"/>
  <c r="L4" i="11"/>
  <c r="K4" i="11"/>
  <c r="J4" i="11"/>
  <c r="N5" i="11"/>
  <c r="M5" i="11"/>
  <c r="L5" i="11"/>
  <c r="K5" i="11"/>
  <c r="J5" i="11"/>
  <c r="N6" i="11"/>
  <c r="M6" i="11"/>
  <c r="L6" i="11"/>
  <c r="K6" i="11"/>
  <c r="J6" i="11"/>
  <c r="N7" i="11"/>
  <c r="M7" i="11"/>
  <c r="L7" i="11"/>
  <c r="K7" i="11"/>
  <c r="J7" i="11"/>
  <c r="N14" i="11"/>
  <c r="M14" i="11"/>
  <c r="L14" i="11"/>
  <c r="K14" i="11"/>
  <c r="J14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I6" i="12"/>
  <c r="I5" i="12"/>
  <c r="G45" i="23"/>
  <c r="I7" i="12"/>
  <c r="G44" i="23"/>
  <c r="G43" i="23"/>
  <c r="B50" i="23"/>
  <c r="F50" i="23"/>
  <c r="F52" i="23"/>
  <c r="B62" i="11" l="1"/>
  <c r="B56" i="11"/>
  <c r="B50" i="11"/>
  <c r="B20" i="11"/>
  <c r="C62" i="11"/>
  <c r="C56" i="11"/>
  <c r="C50" i="11"/>
  <c r="C20" i="11"/>
  <c r="D62" i="11"/>
  <c r="D56" i="11"/>
  <c r="D50" i="11"/>
  <c r="D20" i="11"/>
  <c r="E62" i="11"/>
  <c r="E56" i="11"/>
  <c r="E50" i="11"/>
  <c r="E20" i="11"/>
  <c r="F62" i="11"/>
  <c r="F56" i="11"/>
  <c r="F50" i="11"/>
  <c r="F20" i="11"/>
  <c r="B74" i="11"/>
  <c r="B68" i="11"/>
  <c r="B44" i="11"/>
  <c r="B38" i="11"/>
  <c r="B32" i="11"/>
  <c r="B26" i="11"/>
  <c r="C74" i="11"/>
  <c r="C68" i="11"/>
  <c r="C44" i="11"/>
  <c r="C38" i="11"/>
  <c r="C32" i="11"/>
  <c r="C26" i="11"/>
  <c r="D74" i="11"/>
  <c r="D68" i="11"/>
  <c r="D44" i="11"/>
  <c r="D38" i="11"/>
  <c r="D32" i="11"/>
  <c r="D26" i="11"/>
  <c r="E74" i="11"/>
  <c r="E68" i="11"/>
  <c r="E44" i="11"/>
  <c r="E38" i="11"/>
  <c r="E32" i="11"/>
  <c r="E26" i="11"/>
  <c r="F74" i="11"/>
  <c r="F68" i="11"/>
  <c r="F44" i="11"/>
  <c r="F38" i="11"/>
  <c r="F32" i="11"/>
  <c r="F26" i="11"/>
  <c r="B73" i="11"/>
  <c r="B67" i="11"/>
  <c r="B31" i="11"/>
  <c r="B25" i="11"/>
  <c r="C73" i="11"/>
  <c r="C67" i="11"/>
  <c r="C31" i="11"/>
  <c r="C25" i="11"/>
  <c r="D73" i="11"/>
  <c r="D67" i="11"/>
  <c r="D31" i="11"/>
  <c r="D25" i="11"/>
  <c r="E73" i="11"/>
  <c r="E67" i="11"/>
  <c r="E31" i="11"/>
  <c r="E25" i="11"/>
  <c r="F73" i="11"/>
  <c r="F67" i="11"/>
  <c r="F31" i="11"/>
  <c r="F25" i="11"/>
  <c r="B72" i="11"/>
  <c r="B66" i="11"/>
  <c r="B30" i="11"/>
  <c r="B24" i="11"/>
  <c r="C72" i="11"/>
  <c r="C66" i="11"/>
  <c r="C30" i="11"/>
  <c r="C24" i="11"/>
  <c r="D72" i="11"/>
  <c r="D66" i="11"/>
  <c r="D30" i="11"/>
  <c r="D24" i="11"/>
  <c r="E72" i="11"/>
  <c r="E66" i="11"/>
  <c r="E30" i="11"/>
  <c r="E24" i="11"/>
  <c r="F72" i="11"/>
  <c r="F66" i="11"/>
  <c r="F30" i="11"/>
  <c r="F24" i="11"/>
  <c r="B71" i="11"/>
  <c r="B65" i="11"/>
  <c r="B29" i="11"/>
  <c r="B23" i="11"/>
  <c r="C71" i="11"/>
  <c r="C65" i="11"/>
  <c r="C29" i="11"/>
  <c r="C23" i="11"/>
  <c r="D71" i="11"/>
  <c r="D65" i="11"/>
  <c r="D29" i="11"/>
  <c r="D23" i="11"/>
  <c r="E71" i="11"/>
  <c r="E65" i="11"/>
  <c r="E29" i="11"/>
  <c r="E23" i="11"/>
  <c r="F71" i="11"/>
  <c r="F65" i="11"/>
  <c r="F29" i="11"/>
  <c r="F23" i="11"/>
  <c r="J11" i="11"/>
  <c r="K11" i="11"/>
  <c r="L11" i="11"/>
  <c r="M11" i="11"/>
  <c r="N11" i="11"/>
  <c r="J12" i="11"/>
  <c r="K12" i="11"/>
  <c r="L12" i="11"/>
  <c r="M12" i="11"/>
  <c r="N12" i="11"/>
  <c r="J13" i="11"/>
  <c r="K13" i="11"/>
  <c r="L13" i="11"/>
  <c r="M13" i="11"/>
  <c r="N13" i="11"/>
  <c r="G4" i="17"/>
  <c r="G5" i="17"/>
  <c r="G7" i="17"/>
  <c r="F61" i="11" l="1"/>
  <c r="F55" i="11"/>
  <c r="F49" i="11"/>
  <c r="F19" i="11"/>
  <c r="E61" i="11"/>
  <c r="E55" i="11"/>
  <c r="E49" i="11"/>
  <c r="E19" i="11"/>
  <c r="D61" i="11"/>
  <c r="D55" i="11"/>
  <c r="D49" i="11"/>
  <c r="D19" i="11"/>
  <c r="C61" i="11"/>
  <c r="C55" i="11"/>
  <c r="C49" i="11"/>
  <c r="C19" i="11"/>
  <c r="B61" i="11"/>
  <c r="B55" i="11"/>
  <c r="B49" i="11"/>
  <c r="B19" i="11"/>
  <c r="F60" i="11"/>
  <c r="F54" i="11"/>
  <c r="F48" i="11"/>
  <c r="F18" i="11"/>
  <c r="E60" i="11"/>
  <c r="E54" i="11"/>
  <c r="E48" i="11"/>
  <c r="E18" i="11"/>
  <c r="D60" i="11"/>
  <c r="D54" i="11"/>
  <c r="D48" i="11"/>
  <c r="D18" i="11"/>
  <c r="C60" i="11"/>
  <c r="C54" i="11"/>
  <c r="C48" i="11"/>
  <c r="C18" i="11"/>
  <c r="B60" i="11"/>
  <c r="B54" i="11"/>
  <c r="B48" i="11"/>
  <c r="B18" i="11"/>
  <c r="F59" i="11"/>
  <c r="F53" i="11"/>
  <c r="F47" i="11"/>
  <c r="F17" i="11"/>
  <c r="E59" i="11"/>
  <c r="E53" i="11"/>
  <c r="E47" i="11"/>
  <c r="E17" i="11"/>
  <c r="D59" i="11"/>
  <c r="D53" i="11"/>
  <c r="D47" i="11"/>
  <c r="D17" i="11"/>
  <c r="C59" i="11"/>
  <c r="C53" i="11"/>
  <c r="C47" i="11"/>
  <c r="C17" i="11"/>
  <c r="B59" i="11"/>
  <c r="B53" i="11"/>
  <c r="B47" i="11"/>
  <c r="B17" i="11"/>
  <c r="F35" i="11"/>
  <c r="F41" i="11"/>
  <c r="E35" i="11"/>
  <c r="E41" i="11"/>
  <c r="D35" i="11"/>
  <c r="D41" i="11"/>
  <c r="C35" i="11"/>
  <c r="C41" i="11"/>
  <c r="B35" i="11"/>
  <c r="B41" i="11"/>
  <c r="F36" i="11"/>
  <c r="F42" i="11"/>
  <c r="E36" i="11"/>
  <c r="E42" i="11"/>
  <c r="D36" i="11"/>
  <c r="D42" i="11"/>
  <c r="C36" i="11"/>
  <c r="C42" i="11"/>
  <c r="B36" i="11"/>
  <c r="B42" i="11"/>
  <c r="F37" i="11"/>
  <c r="F43" i="11"/>
  <c r="E37" i="11"/>
  <c r="E43" i="11"/>
  <c r="D37" i="11"/>
  <c r="D43" i="11"/>
  <c r="C37" i="11"/>
  <c r="C43" i="11"/>
  <c r="B37" i="11"/>
  <c r="B43" i="11"/>
  <c r="B11" i="17"/>
  <c r="C11" i="17"/>
  <c r="D11" i="17"/>
  <c r="E11" i="17"/>
  <c r="F11" i="17"/>
  <c r="B12" i="17"/>
  <c r="C12" i="17"/>
  <c r="D12" i="17"/>
  <c r="E12" i="17"/>
  <c r="F12" i="17"/>
  <c r="B14" i="17"/>
  <c r="C14" i="17"/>
  <c r="D14" i="17"/>
  <c r="E14" i="17"/>
  <c r="F14" i="17"/>
  <c r="B54" i="7" l="1"/>
  <c r="N37" i="7"/>
  <c r="N42" i="7"/>
  <c r="F15" i="25" l="1"/>
  <c r="E15" i="25"/>
  <c r="D15" i="25"/>
  <c r="C15" i="25"/>
  <c r="B15" i="25"/>
  <c r="F14" i="25"/>
  <c r="E14" i="25"/>
  <c r="D14" i="25"/>
  <c r="C14" i="25"/>
  <c r="B14" i="25"/>
  <c r="F13" i="25"/>
  <c r="E13" i="25"/>
  <c r="D13" i="25"/>
  <c r="C13" i="25"/>
  <c r="B13" i="25"/>
  <c r="F12" i="25"/>
  <c r="E12" i="25"/>
  <c r="D12" i="25"/>
  <c r="C12" i="25"/>
  <c r="B12" i="25"/>
  <c r="G8" i="17"/>
  <c r="F8" i="17"/>
  <c r="E8" i="17"/>
  <c r="D8" i="17"/>
  <c r="C8" i="17"/>
  <c r="B8" i="17"/>
  <c r="G6" i="17"/>
  <c r="F25" i="17" l="1"/>
  <c r="E25" i="17"/>
  <c r="D25" i="17"/>
  <c r="C25" i="17"/>
  <c r="B25" i="17"/>
  <c r="F13" i="17"/>
  <c r="E13" i="17"/>
  <c r="D13" i="17"/>
  <c r="C13" i="17"/>
  <c r="B13" i="17"/>
  <c r="B17" i="17"/>
  <c r="B20" i="17"/>
  <c r="B19" i="17"/>
  <c r="B18" i="17"/>
  <c r="B23" i="17"/>
  <c r="B24" i="17"/>
  <c r="B26" i="17"/>
  <c r="C20" i="17"/>
  <c r="C19" i="17"/>
  <c r="C18" i="17"/>
  <c r="C17" i="17"/>
  <c r="C23" i="17"/>
  <c r="C24" i="17"/>
  <c r="C26" i="17"/>
  <c r="D20" i="17"/>
  <c r="D19" i="17"/>
  <c r="D18" i="17"/>
  <c r="D17" i="17"/>
  <c r="D23" i="17"/>
  <c r="D24" i="17"/>
  <c r="D26" i="17"/>
  <c r="E20" i="17"/>
  <c r="E19" i="17"/>
  <c r="E18" i="17"/>
  <c r="E17" i="17"/>
  <c r="E23" i="17"/>
  <c r="E24" i="17"/>
  <c r="E26" i="17"/>
  <c r="F20" i="17"/>
  <c r="F19" i="17"/>
  <c r="F18" i="17"/>
  <c r="F17" i="17"/>
  <c r="F26" i="17"/>
  <c r="F24" i="17"/>
  <c r="F23" i="17"/>
  <c r="F32" i="17"/>
  <c r="E32" i="17"/>
  <c r="D32" i="17"/>
  <c r="C32" i="17"/>
  <c r="B32" i="17"/>
  <c r="F31" i="17"/>
  <c r="E31" i="17"/>
  <c r="D31" i="17"/>
  <c r="C31" i="17"/>
  <c r="B31" i="17"/>
  <c r="F30" i="17"/>
  <c r="E30" i="17"/>
  <c r="D30" i="17"/>
  <c r="C30" i="17"/>
  <c r="B30" i="17"/>
  <c r="F29" i="17"/>
  <c r="E29" i="17"/>
  <c r="D29" i="17"/>
  <c r="C29" i="17"/>
  <c r="B29" i="17"/>
  <c r="B47" i="25" l="1"/>
  <c r="Q10" i="12" l="1"/>
  <c r="Q9" i="12"/>
  <c r="Q11" i="12" s="1"/>
  <c r="Q4" i="12"/>
  <c r="Q5" i="12"/>
  <c r="T11" i="12"/>
  <c r="P11" i="12"/>
  <c r="O11" i="12"/>
  <c r="S11" i="12" s="1"/>
  <c r="T6" i="12"/>
  <c r="P6" i="12"/>
  <c r="O6" i="12"/>
  <c r="S6" i="12" s="1"/>
  <c r="Q6" i="12" l="1"/>
  <c r="R11" i="12"/>
  <c r="R6" i="12"/>
  <c r="B45" i="25"/>
  <c r="F66" i="25"/>
  <c r="E66" i="25"/>
  <c r="D66" i="25"/>
  <c r="C66" i="25"/>
  <c r="B66" i="25"/>
  <c r="F65" i="25"/>
  <c r="E65" i="25"/>
  <c r="D65" i="25"/>
  <c r="C65" i="25"/>
  <c r="B65" i="25"/>
  <c r="F64" i="25"/>
  <c r="E64" i="25"/>
  <c r="D64" i="25"/>
  <c r="C64" i="25"/>
  <c r="B64" i="25"/>
  <c r="F63" i="25"/>
  <c r="E63" i="25"/>
  <c r="D63" i="25"/>
  <c r="C63" i="25"/>
  <c r="B63" i="25"/>
  <c r="F54" i="25"/>
  <c r="E54" i="25"/>
  <c r="D54" i="25"/>
  <c r="C54" i="25"/>
  <c r="B54" i="25"/>
  <c r="F53" i="25"/>
  <c r="E53" i="25"/>
  <c r="D53" i="25"/>
  <c r="C53" i="25"/>
  <c r="B53" i="25"/>
  <c r="F52" i="25"/>
  <c r="E52" i="25"/>
  <c r="D52" i="25"/>
  <c r="C52" i="25"/>
  <c r="B52" i="25"/>
  <c r="F51" i="25"/>
  <c r="E51" i="25"/>
  <c r="D51" i="25"/>
  <c r="C51" i="25"/>
  <c r="B51" i="25"/>
  <c r="F48" i="25"/>
  <c r="E48" i="25"/>
  <c r="D48" i="25"/>
  <c r="C48" i="25"/>
  <c r="B48" i="25"/>
  <c r="F47" i="25"/>
  <c r="E47" i="25"/>
  <c r="D47" i="25"/>
  <c r="C47" i="25"/>
  <c r="F46" i="25"/>
  <c r="E46" i="25"/>
  <c r="D46" i="25"/>
  <c r="C46" i="25"/>
  <c r="B46" i="25"/>
  <c r="F45" i="25"/>
  <c r="E45" i="25"/>
  <c r="D45" i="25"/>
  <c r="C45" i="25"/>
  <c r="C57" i="25" l="1"/>
  <c r="D57" i="25"/>
  <c r="E57" i="25"/>
  <c r="F57" i="25"/>
  <c r="B58" i="25"/>
  <c r="C58" i="25"/>
  <c r="D58" i="25"/>
  <c r="E58" i="25"/>
  <c r="F58" i="25"/>
  <c r="C59" i="25"/>
  <c r="D59" i="25"/>
  <c r="E59" i="25"/>
  <c r="F59" i="25"/>
  <c r="B60" i="25"/>
  <c r="C60" i="25"/>
  <c r="D60" i="25"/>
  <c r="E60" i="25"/>
  <c r="F60" i="25"/>
  <c r="B59" i="25"/>
  <c r="B57" i="25"/>
  <c r="F33" i="25"/>
  <c r="E33" i="25"/>
  <c r="D33" i="25"/>
  <c r="C33" i="25"/>
  <c r="B33" i="25"/>
  <c r="F32" i="25"/>
  <c r="E32" i="25"/>
  <c r="D32" i="25"/>
  <c r="C32" i="25"/>
  <c r="B32" i="25"/>
  <c r="F31" i="25"/>
  <c r="E31" i="25"/>
  <c r="D31" i="25"/>
  <c r="C31" i="25"/>
  <c r="B31" i="25"/>
  <c r="F30" i="25"/>
  <c r="E30" i="25"/>
  <c r="D30" i="25"/>
  <c r="C30" i="25"/>
  <c r="B30" i="25"/>
  <c r="F21" i="25"/>
  <c r="F27" i="25" s="1"/>
  <c r="E21" i="25"/>
  <c r="E27" i="25" s="1"/>
  <c r="D21" i="25"/>
  <c r="D27" i="25" s="1"/>
  <c r="C21" i="25"/>
  <c r="C27" i="25" s="1"/>
  <c r="B21" i="25"/>
  <c r="B27" i="25" s="1"/>
  <c r="F20" i="25"/>
  <c r="F26" i="25" s="1"/>
  <c r="E20" i="25"/>
  <c r="E26" i="25" s="1"/>
  <c r="D20" i="25"/>
  <c r="D26" i="25" s="1"/>
  <c r="C20" i="25"/>
  <c r="C26" i="25" s="1"/>
  <c r="B20" i="25"/>
  <c r="B26" i="25" s="1"/>
  <c r="F19" i="25"/>
  <c r="F25" i="25" s="1"/>
  <c r="E19" i="25"/>
  <c r="E25" i="25" s="1"/>
  <c r="D19" i="25"/>
  <c r="D25" i="25" s="1"/>
  <c r="C19" i="25"/>
  <c r="C25" i="25" s="1"/>
  <c r="B19" i="25"/>
  <c r="B25" i="25" s="1"/>
  <c r="F18" i="25"/>
  <c r="F24" i="25" s="1"/>
  <c r="E18" i="25"/>
  <c r="E24" i="25" s="1"/>
  <c r="D18" i="25"/>
  <c r="D24" i="25" s="1"/>
  <c r="C18" i="25"/>
  <c r="C24" i="25" s="1"/>
  <c r="B18" i="25"/>
  <c r="B24" i="25" s="1"/>
  <c r="B14" i="15"/>
  <c r="H9" i="21"/>
  <c r="B8" i="21"/>
  <c r="B9" i="21"/>
  <c r="B20" i="21"/>
  <c r="G80" i="23" l="1"/>
  <c r="F80" i="23"/>
  <c r="E80" i="23"/>
  <c r="D80" i="23"/>
  <c r="C80" i="23"/>
  <c r="B80" i="23"/>
  <c r="G79" i="23"/>
  <c r="G78" i="23"/>
  <c r="G77" i="23"/>
  <c r="G76" i="23"/>
  <c r="G496" i="23" l="1"/>
  <c r="F496" i="23"/>
  <c r="E496" i="23"/>
  <c r="D496" i="23"/>
  <c r="C496" i="23"/>
  <c r="B496" i="23"/>
  <c r="G495" i="23"/>
  <c r="G494" i="23"/>
  <c r="G493" i="23"/>
  <c r="G492" i="23"/>
  <c r="G462" i="23"/>
  <c r="F462" i="23"/>
  <c r="E462" i="23"/>
  <c r="D462" i="23"/>
  <c r="C462" i="23"/>
  <c r="B462" i="23"/>
  <c r="G461" i="23"/>
  <c r="G460" i="23"/>
  <c r="G459" i="23"/>
  <c r="G458" i="23"/>
  <c r="G320" i="23"/>
  <c r="G321" i="23"/>
  <c r="G322" i="23"/>
  <c r="G323" i="23"/>
  <c r="B324" i="23"/>
  <c r="C324" i="23"/>
  <c r="D324" i="23"/>
  <c r="E324" i="23"/>
  <c r="F324" i="23"/>
  <c r="G324" i="23"/>
  <c r="F520" i="23"/>
  <c r="F508" i="23"/>
  <c r="E508" i="23"/>
  <c r="D508" i="23"/>
  <c r="C508" i="23"/>
  <c r="B508" i="23"/>
  <c r="F486" i="23"/>
  <c r="F474" i="23"/>
  <c r="E474" i="23"/>
  <c r="D474" i="23"/>
  <c r="C474" i="23"/>
  <c r="B474" i="23"/>
  <c r="F479" i="23"/>
  <c r="F478" i="23"/>
  <c r="F477" i="23"/>
  <c r="G428" i="23"/>
  <c r="F452" i="23" s="1"/>
  <c r="F428" i="23"/>
  <c r="F440" i="23" s="1"/>
  <c r="E428" i="23"/>
  <c r="E440" i="23" s="1"/>
  <c r="D428" i="23"/>
  <c r="D440" i="23" s="1"/>
  <c r="C428" i="23"/>
  <c r="C440" i="23" s="1"/>
  <c r="B428" i="23"/>
  <c r="B440" i="23" s="1"/>
  <c r="G427" i="23"/>
  <c r="F434" i="23" s="1"/>
  <c r="F446" i="23" s="1"/>
  <c r="G426" i="23"/>
  <c r="F433" i="23" s="1"/>
  <c r="G425" i="23"/>
  <c r="F432" i="23" s="1"/>
  <c r="G424" i="23"/>
  <c r="F431" i="23" s="1"/>
  <c r="G392" i="23"/>
  <c r="F416" i="23" s="1"/>
  <c r="F392" i="23"/>
  <c r="F404" i="23" s="1"/>
  <c r="E392" i="23"/>
  <c r="E404" i="23" s="1"/>
  <c r="D392" i="23"/>
  <c r="D404" i="23" s="1"/>
  <c r="C392" i="23"/>
  <c r="C404" i="23" s="1"/>
  <c r="B392" i="23"/>
  <c r="B404" i="23" s="1"/>
  <c r="G391" i="23"/>
  <c r="G390" i="23"/>
  <c r="G389" i="23"/>
  <c r="G388" i="23"/>
  <c r="B407" i="23" s="1"/>
  <c r="G358" i="23"/>
  <c r="F382" i="23" s="1"/>
  <c r="F358" i="23"/>
  <c r="F370" i="23" s="1"/>
  <c r="E358" i="23"/>
  <c r="E370" i="23" s="1"/>
  <c r="D358" i="23"/>
  <c r="D370" i="23" s="1"/>
  <c r="C358" i="23"/>
  <c r="C370" i="23" s="1"/>
  <c r="B358" i="23"/>
  <c r="B370" i="23" s="1"/>
  <c r="G357" i="23"/>
  <c r="G356" i="23"/>
  <c r="G355" i="23"/>
  <c r="G354" i="23"/>
  <c r="F348" i="23"/>
  <c r="F336" i="23"/>
  <c r="E336" i="23"/>
  <c r="D336" i="23"/>
  <c r="C336" i="23"/>
  <c r="B336" i="23"/>
  <c r="F330" i="23"/>
  <c r="F342" i="23" s="1"/>
  <c r="F329" i="23"/>
  <c r="F328" i="23"/>
  <c r="F327" i="23"/>
  <c r="G288" i="23"/>
  <c r="F312" i="23" s="1"/>
  <c r="F288" i="23"/>
  <c r="F300" i="23" s="1"/>
  <c r="E288" i="23"/>
  <c r="E300" i="23" s="1"/>
  <c r="D288" i="23"/>
  <c r="D300" i="23" s="1"/>
  <c r="C288" i="23"/>
  <c r="C300" i="23" s="1"/>
  <c r="B288" i="23"/>
  <c r="B300" i="23" s="1"/>
  <c r="G287" i="23"/>
  <c r="G286" i="23"/>
  <c r="G285" i="23"/>
  <c r="G284" i="23"/>
  <c r="G254" i="23"/>
  <c r="F254" i="23"/>
  <c r="F266" i="23" s="1"/>
  <c r="E254" i="23"/>
  <c r="E266" i="23" s="1"/>
  <c r="D254" i="23"/>
  <c r="D266" i="23" s="1"/>
  <c r="C254" i="23"/>
  <c r="C266" i="23" s="1"/>
  <c r="B254" i="23"/>
  <c r="B266" i="23" s="1"/>
  <c r="G253" i="23"/>
  <c r="G252" i="23"/>
  <c r="G251" i="23"/>
  <c r="G250" i="23"/>
  <c r="G220" i="23"/>
  <c r="F244" i="23" s="1"/>
  <c r="F220" i="23"/>
  <c r="F232" i="23" s="1"/>
  <c r="E220" i="23"/>
  <c r="E232" i="23" s="1"/>
  <c r="D220" i="23"/>
  <c r="D232" i="23" s="1"/>
  <c r="C220" i="23"/>
  <c r="C232" i="23" s="1"/>
  <c r="B220" i="23"/>
  <c r="B232" i="23" s="1"/>
  <c r="G219" i="23"/>
  <c r="F226" i="23" s="1"/>
  <c r="F238" i="23" s="1"/>
  <c r="G218" i="23"/>
  <c r="F225" i="23" s="1"/>
  <c r="G217" i="23"/>
  <c r="F224" i="23" s="1"/>
  <c r="G216" i="23"/>
  <c r="F223" i="23" s="1"/>
  <c r="G184" i="23"/>
  <c r="F208" i="23" s="1"/>
  <c r="F184" i="23"/>
  <c r="F196" i="23" s="1"/>
  <c r="E184" i="23"/>
  <c r="E196" i="23" s="1"/>
  <c r="D184" i="23"/>
  <c r="D196" i="23" s="1"/>
  <c r="C184" i="23"/>
  <c r="C196" i="23" s="1"/>
  <c r="B184" i="23"/>
  <c r="B196" i="23" s="1"/>
  <c r="G183" i="23"/>
  <c r="G182" i="23"/>
  <c r="F189" i="23" s="1"/>
  <c r="G181" i="23"/>
  <c r="F188" i="23" s="1"/>
  <c r="G180" i="23"/>
  <c r="F187" i="23" s="1"/>
  <c r="G150" i="23"/>
  <c r="F174" i="23" s="1"/>
  <c r="F150" i="23"/>
  <c r="E150" i="23"/>
  <c r="D150" i="23"/>
  <c r="C150" i="23"/>
  <c r="B150" i="23"/>
  <c r="B162" i="23" s="1"/>
  <c r="G149" i="23"/>
  <c r="G148" i="23"/>
  <c r="G147" i="23"/>
  <c r="G146" i="23"/>
  <c r="G116" i="23"/>
  <c r="F140" i="23" s="1"/>
  <c r="F116" i="23"/>
  <c r="F128" i="23" s="1"/>
  <c r="E116" i="23"/>
  <c r="E128" i="23" s="1"/>
  <c r="D116" i="23"/>
  <c r="D128" i="23" s="1"/>
  <c r="C116" i="23"/>
  <c r="C128" i="23" s="1"/>
  <c r="B116" i="23"/>
  <c r="B128" i="23" s="1"/>
  <c r="G115" i="23"/>
  <c r="F122" i="23" s="1"/>
  <c r="F134" i="23" s="1"/>
  <c r="G114" i="23"/>
  <c r="F121" i="23" s="1"/>
  <c r="G113" i="23"/>
  <c r="G112" i="23"/>
  <c r="F104" i="23"/>
  <c r="F92" i="23"/>
  <c r="E92" i="23"/>
  <c r="D92" i="23"/>
  <c r="C92" i="23"/>
  <c r="B92" i="23"/>
  <c r="F86" i="23"/>
  <c r="F85" i="23"/>
  <c r="F84" i="23"/>
  <c r="B95" i="23"/>
  <c r="G46" i="23"/>
  <c r="F70" i="23" s="1"/>
  <c r="F46" i="23"/>
  <c r="F58" i="23" s="1"/>
  <c r="E46" i="23"/>
  <c r="E58" i="23" s="1"/>
  <c r="D46" i="23"/>
  <c r="D58" i="23" s="1"/>
  <c r="C46" i="23"/>
  <c r="C58" i="23" s="1"/>
  <c r="B46" i="23"/>
  <c r="F64" i="23"/>
  <c r="F63" i="23"/>
  <c r="F62" i="23"/>
  <c r="G42" i="23"/>
  <c r="G12" i="23"/>
  <c r="F36" i="23" s="1"/>
  <c r="F12" i="23"/>
  <c r="F24" i="23" s="1"/>
  <c r="E12" i="23"/>
  <c r="E24" i="23" s="1"/>
  <c r="D12" i="23"/>
  <c r="D24" i="23" s="1"/>
  <c r="C12" i="23"/>
  <c r="C24" i="23" s="1"/>
  <c r="B12" i="23"/>
  <c r="B24" i="23" s="1"/>
  <c r="G11" i="23"/>
  <c r="F18" i="23" s="1"/>
  <c r="F30" i="23" s="1"/>
  <c r="G10" i="23"/>
  <c r="F17" i="23" s="1"/>
  <c r="G9" i="23"/>
  <c r="F16" i="23" s="1"/>
  <c r="G8" i="23"/>
  <c r="F15" i="23" s="1"/>
  <c r="B58" i="23" l="1"/>
  <c r="B55" i="23"/>
  <c r="F61" i="23"/>
  <c r="B49" i="23"/>
  <c r="F165" i="23"/>
  <c r="E165" i="23"/>
  <c r="D165" i="23"/>
  <c r="C165" i="23"/>
  <c r="B165" i="23"/>
  <c r="F166" i="23"/>
  <c r="E166" i="23"/>
  <c r="D166" i="23"/>
  <c r="C166" i="23"/>
  <c r="B166" i="23"/>
  <c r="F167" i="23"/>
  <c r="E167" i="23"/>
  <c r="D167" i="23"/>
  <c r="C167" i="23"/>
  <c r="B167" i="23"/>
  <c r="F168" i="23"/>
  <c r="E168" i="23"/>
  <c r="D168" i="23"/>
  <c r="C168" i="23"/>
  <c r="B168" i="23"/>
  <c r="B410" i="23"/>
  <c r="E410" i="23"/>
  <c r="F410" i="23"/>
  <c r="F156" i="23"/>
  <c r="E156" i="23"/>
  <c r="D156" i="23"/>
  <c r="C156" i="23"/>
  <c r="B156" i="23"/>
  <c r="F155" i="23"/>
  <c r="E155" i="23"/>
  <c r="D155" i="23"/>
  <c r="C155" i="23"/>
  <c r="B155" i="23"/>
  <c r="F154" i="23"/>
  <c r="E154" i="23"/>
  <c r="D154" i="23"/>
  <c r="C154" i="23"/>
  <c r="B154" i="23"/>
  <c r="F153" i="23"/>
  <c r="E153" i="23"/>
  <c r="D153" i="23"/>
  <c r="C153" i="23"/>
  <c r="B153" i="23"/>
  <c r="D188" i="23"/>
  <c r="C49" i="23"/>
  <c r="D49" i="23"/>
  <c r="E49" i="23"/>
  <c r="F49" i="23"/>
  <c r="C50" i="23"/>
  <c r="D50" i="23"/>
  <c r="E50" i="23"/>
  <c r="B51" i="23"/>
  <c r="C51" i="23"/>
  <c r="D51" i="23"/>
  <c r="E51" i="23"/>
  <c r="F51" i="23"/>
  <c r="B52" i="23"/>
  <c r="C52" i="23"/>
  <c r="D52" i="23"/>
  <c r="E52" i="23"/>
  <c r="B33" i="23"/>
  <c r="F83" i="23"/>
  <c r="B83" i="23"/>
  <c r="F119" i="23"/>
  <c r="B119" i="23"/>
  <c r="F120" i="23"/>
  <c r="B120" i="23"/>
  <c r="F190" i="23"/>
  <c r="F202" i="23"/>
  <c r="F291" i="23"/>
  <c r="B303" i="23"/>
  <c r="F303" i="23"/>
  <c r="E303" i="23"/>
  <c r="D303" i="23"/>
  <c r="C303" i="23"/>
  <c r="F292" i="23"/>
  <c r="F304" i="23"/>
  <c r="E304" i="23"/>
  <c r="D304" i="23"/>
  <c r="C304" i="23"/>
  <c r="B304" i="23"/>
  <c r="F293" i="23"/>
  <c r="F305" i="23"/>
  <c r="E305" i="23"/>
  <c r="D305" i="23"/>
  <c r="C305" i="23"/>
  <c r="B305" i="23"/>
  <c r="F294" i="23"/>
  <c r="F306" i="23"/>
  <c r="E306" i="23"/>
  <c r="D306" i="23"/>
  <c r="C306" i="23"/>
  <c r="B306" i="23"/>
  <c r="B373" i="23"/>
  <c r="C373" i="23"/>
  <c r="D373" i="23"/>
  <c r="E373" i="23"/>
  <c r="F373" i="23"/>
  <c r="B374" i="23"/>
  <c r="C374" i="23"/>
  <c r="D374" i="23"/>
  <c r="E374" i="23"/>
  <c r="F374" i="23"/>
  <c r="B375" i="23"/>
  <c r="C375" i="23"/>
  <c r="D375" i="23"/>
  <c r="E375" i="23"/>
  <c r="F375" i="23"/>
  <c r="B376" i="23"/>
  <c r="C376" i="23"/>
  <c r="D376" i="23"/>
  <c r="E376" i="23"/>
  <c r="F376" i="23"/>
  <c r="F395" i="23"/>
  <c r="F407" i="23"/>
  <c r="E407" i="23"/>
  <c r="D407" i="23"/>
  <c r="C407" i="23"/>
  <c r="F396" i="23"/>
  <c r="F408" i="23"/>
  <c r="E408" i="23"/>
  <c r="D408" i="23"/>
  <c r="C408" i="23"/>
  <c r="B408" i="23"/>
  <c r="F397" i="23"/>
  <c r="F409" i="23"/>
  <c r="E409" i="23"/>
  <c r="D409" i="23"/>
  <c r="C409" i="23"/>
  <c r="B409" i="23"/>
  <c r="F398" i="23"/>
  <c r="D410" i="23"/>
  <c r="C410" i="23"/>
  <c r="F499" i="23"/>
  <c r="F511" i="23"/>
  <c r="E511" i="23"/>
  <c r="D511" i="23"/>
  <c r="C511" i="23"/>
  <c r="B511" i="23"/>
  <c r="F500" i="23"/>
  <c r="F512" i="23"/>
  <c r="E512" i="23"/>
  <c r="D512" i="23"/>
  <c r="C512" i="23"/>
  <c r="B512" i="23"/>
  <c r="F501" i="23"/>
  <c r="F513" i="23"/>
  <c r="E513" i="23"/>
  <c r="D513" i="23"/>
  <c r="C513" i="23"/>
  <c r="B513" i="23"/>
  <c r="F502" i="23"/>
  <c r="F514" i="23"/>
  <c r="E514" i="23"/>
  <c r="D514" i="23"/>
  <c r="C514" i="23"/>
  <c r="B514" i="23"/>
  <c r="C95" i="23"/>
  <c r="D95" i="23"/>
  <c r="E95" i="23"/>
  <c r="F95" i="23"/>
  <c r="B96" i="23"/>
  <c r="C96" i="23"/>
  <c r="D96" i="23"/>
  <c r="E96" i="23"/>
  <c r="F96" i="23"/>
  <c r="B97" i="23"/>
  <c r="C97" i="23"/>
  <c r="D97" i="23"/>
  <c r="E97" i="23"/>
  <c r="F97" i="23"/>
  <c r="B98" i="23"/>
  <c r="C98" i="23"/>
  <c r="D98" i="23"/>
  <c r="E98" i="23"/>
  <c r="F98" i="23"/>
  <c r="B199" i="23"/>
  <c r="C199" i="23"/>
  <c r="D199" i="23"/>
  <c r="E199" i="23"/>
  <c r="F199" i="23"/>
  <c r="B200" i="23"/>
  <c r="C200" i="23"/>
  <c r="D200" i="23"/>
  <c r="E200" i="23"/>
  <c r="F200" i="23"/>
  <c r="B201" i="23"/>
  <c r="C201" i="23"/>
  <c r="D201" i="23"/>
  <c r="E201" i="23"/>
  <c r="F201" i="23"/>
  <c r="B202" i="23"/>
  <c r="C202" i="23"/>
  <c r="D202" i="23"/>
  <c r="E202" i="23"/>
  <c r="B64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B30" i="23" s="1"/>
  <c r="C18" i="23"/>
  <c r="C30" i="23" s="1"/>
  <c r="D18" i="23"/>
  <c r="D30" i="23" s="1"/>
  <c r="E18" i="23"/>
  <c r="E30" i="23" s="1"/>
  <c r="B21" i="23"/>
  <c r="C21" i="23"/>
  <c r="D21" i="23"/>
  <c r="E21" i="23"/>
  <c r="F21" i="23"/>
  <c r="F27" i="23" s="1"/>
  <c r="B22" i="23"/>
  <c r="C22" i="23"/>
  <c r="D22" i="23"/>
  <c r="E22" i="23"/>
  <c r="F22" i="23"/>
  <c r="F28" i="23" s="1"/>
  <c r="B23" i="23"/>
  <c r="C23" i="23"/>
  <c r="D23" i="23"/>
  <c r="E23" i="23"/>
  <c r="F23" i="23"/>
  <c r="F29" i="23" s="1"/>
  <c r="C33" i="23"/>
  <c r="D33" i="23"/>
  <c r="E33" i="23"/>
  <c r="F33" i="23"/>
  <c r="B34" i="23"/>
  <c r="C34" i="23"/>
  <c r="D34" i="23"/>
  <c r="E34" i="23"/>
  <c r="F34" i="23"/>
  <c r="B35" i="23"/>
  <c r="C35" i="23"/>
  <c r="D35" i="23"/>
  <c r="E35" i="23"/>
  <c r="F35" i="23"/>
  <c r="B36" i="23"/>
  <c r="C36" i="23"/>
  <c r="D36" i="23"/>
  <c r="E36" i="23"/>
  <c r="C55" i="23"/>
  <c r="D55" i="23"/>
  <c r="E55" i="23"/>
  <c r="F55" i="23"/>
  <c r="B56" i="23"/>
  <c r="C56" i="23"/>
  <c r="D56" i="23"/>
  <c r="E56" i="23"/>
  <c r="F56" i="23"/>
  <c r="B57" i="23"/>
  <c r="C57" i="23"/>
  <c r="D57" i="23"/>
  <c r="E57" i="23"/>
  <c r="F57" i="23"/>
  <c r="B67" i="23"/>
  <c r="C67" i="23"/>
  <c r="D67" i="23"/>
  <c r="E67" i="23"/>
  <c r="F67" i="23"/>
  <c r="B68" i="23"/>
  <c r="C68" i="23"/>
  <c r="D68" i="23"/>
  <c r="E68" i="23"/>
  <c r="F68" i="23"/>
  <c r="B69" i="23"/>
  <c r="C69" i="23"/>
  <c r="D69" i="23"/>
  <c r="E69" i="23"/>
  <c r="F69" i="23"/>
  <c r="B70" i="23"/>
  <c r="C70" i="23"/>
  <c r="D70" i="23"/>
  <c r="E70" i="23"/>
  <c r="B61" i="23"/>
  <c r="C61" i="23"/>
  <c r="D61" i="23"/>
  <c r="E61" i="23"/>
  <c r="B62" i="23"/>
  <c r="C62" i="23"/>
  <c r="D62" i="23"/>
  <c r="E62" i="23"/>
  <c r="B63" i="23"/>
  <c r="C63" i="23"/>
  <c r="D63" i="23"/>
  <c r="E63" i="23"/>
  <c r="C64" i="23"/>
  <c r="D64" i="23"/>
  <c r="E64" i="23"/>
  <c r="C83" i="23"/>
  <c r="D83" i="23"/>
  <c r="E83" i="23"/>
  <c r="B84" i="23"/>
  <c r="C84" i="23"/>
  <c r="D84" i="23"/>
  <c r="E84" i="23"/>
  <c r="B85" i="23"/>
  <c r="C85" i="23"/>
  <c r="D85" i="23"/>
  <c r="E85" i="23"/>
  <c r="B86" i="23"/>
  <c r="C86" i="23"/>
  <c r="D86" i="23"/>
  <c r="E86" i="23"/>
  <c r="B89" i="23"/>
  <c r="C89" i="23"/>
  <c r="D89" i="23"/>
  <c r="E89" i="23"/>
  <c r="F89" i="23"/>
  <c r="B90" i="23"/>
  <c r="C90" i="23"/>
  <c r="D90" i="23"/>
  <c r="E90" i="23"/>
  <c r="F90" i="23"/>
  <c r="B91" i="23"/>
  <c r="C91" i="23"/>
  <c r="D91" i="23"/>
  <c r="E91" i="23"/>
  <c r="F91" i="23"/>
  <c r="B101" i="23"/>
  <c r="C101" i="23"/>
  <c r="D101" i="23"/>
  <c r="E101" i="23"/>
  <c r="F101" i="23"/>
  <c r="B102" i="23"/>
  <c r="C102" i="23"/>
  <c r="D102" i="23"/>
  <c r="E102" i="23"/>
  <c r="F102" i="23"/>
  <c r="B103" i="23"/>
  <c r="C103" i="23"/>
  <c r="D103" i="23"/>
  <c r="E103" i="23"/>
  <c r="F103" i="23"/>
  <c r="B104" i="23"/>
  <c r="C104" i="23"/>
  <c r="D104" i="23"/>
  <c r="E104" i="23"/>
  <c r="C119" i="23"/>
  <c r="D119" i="23"/>
  <c r="E119" i="23"/>
  <c r="C120" i="23"/>
  <c r="D120" i="23"/>
  <c r="E120" i="23"/>
  <c r="B121" i="23"/>
  <c r="C121" i="23"/>
  <c r="D121" i="23"/>
  <c r="E121" i="23"/>
  <c r="B122" i="23"/>
  <c r="B134" i="23" s="1"/>
  <c r="C122" i="23"/>
  <c r="C134" i="23" s="1"/>
  <c r="D122" i="23"/>
  <c r="D134" i="23" s="1"/>
  <c r="E122" i="23"/>
  <c r="E134" i="23" s="1"/>
  <c r="B125" i="23"/>
  <c r="C125" i="23"/>
  <c r="D125" i="23"/>
  <c r="E125" i="23"/>
  <c r="F125" i="23"/>
  <c r="F131" i="23" s="1"/>
  <c r="B126" i="23"/>
  <c r="C126" i="23"/>
  <c r="D126" i="23"/>
  <c r="E126" i="23"/>
  <c r="F126" i="23"/>
  <c r="F132" i="23" s="1"/>
  <c r="B127" i="23"/>
  <c r="C127" i="23"/>
  <c r="D127" i="23"/>
  <c r="E127" i="23"/>
  <c r="F127" i="23"/>
  <c r="F133" i="23" s="1"/>
  <c r="B137" i="23"/>
  <c r="C137" i="23"/>
  <c r="D137" i="23"/>
  <c r="E137" i="23"/>
  <c r="F137" i="23"/>
  <c r="B138" i="23"/>
  <c r="C138" i="23"/>
  <c r="D138" i="23"/>
  <c r="E138" i="23"/>
  <c r="F138" i="23"/>
  <c r="B139" i="23"/>
  <c r="C139" i="23"/>
  <c r="D139" i="23"/>
  <c r="E139" i="23"/>
  <c r="F139" i="23"/>
  <c r="B140" i="23"/>
  <c r="C140" i="23"/>
  <c r="D140" i="23"/>
  <c r="E140" i="23"/>
  <c r="B159" i="23"/>
  <c r="C159" i="23"/>
  <c r="D159" i="23"/>
  <c r="E159" i="23"/>
  <c r="F159" i="23"/>
  <c r="B160" i="23"/>
  <c r="C160" i="23"/>
  <c r="D160" i="23"/>
  <c r="E160" i="23"/>
  <c r="F160" i="23"/>
  <c r="B161" i="23"/>
  <c r="C161" i="23"/>
  <c r="D161" i="23"/>
  <c r="E161" i="23"/>
  <c r="F161" i="23"/>
  <c r="C162" i="23"/>
  <c r="D162" i="23"/>
  <c r="E162" i="23"/>
  <c r="F162" i="23"/>
  <c r="B171" i="23"/>
  <c r="C171" i="23"/>
  <c r="D171" i="23"/>
  <c r="E171" i="23"/>
  <c r="F171" i="23"/>
  <c r="B172" i="23"/>
  <c r="C172" i="23"/>
  <c r="D172" i="23"/>
  <c r="E172" i="23"/>
  <c r="F172" i="23"/>
  <c r="B173" i="23"/>
  <c r="C173" i="23"/>
  <c r="D173" i="23"/>
  <c r="E173" i="23"/>
  <c r="F173" i="23"/>
  <c r="B174" i="23"/>
  <c r="C174" i="23"/>
  <c r="D174" i="23"/>
  <c r="E174" i="23"/>
  <c r="B187" i="23"/>
  <c r="C187" i="23"/>
  <c r="D187" i="23"/>
  <c r="E187" i="23"/>
  <c r="B188" i="23"/>
  <c r="C188" i="23"/>
  <c r="E188" i="23"/>
  <c r="B189" i="23"/>
  <c r="C189" i="23"/>
  <c r="D189" i="23"/>
  <c r="E189" i="23"/>
  <c r="B190" i="23"/>
  <c r="C190" i="23"/>
  <c r="D190" i="23"/>
  <c r="E190" i="23"/>
  <c r="B193" i="23"/>
  <c r="C193" i="23"/>
  <c r="D193" i="23"/>
  <c r="E193" i="23"/>
  <c r="F193" i="23"/>
  <c r="B194" i="23"/>
  <c r="C194" i="23"/>
  <c r="D194" i="23"/>
  <c r="E194" i="23"/>
  <c r="F194" i="23"/>
  <c r="B195" i="23"/>
  <c r="C195" i="23"/>
  <c r="D195" i="23"/>
  <c r="E195" i="23"/>
  <c r="F195" i="23"/>
  <c r="B205" i="23"/>
  <c r="C205" i="23"/>
  <c r="D205" i="23"/>
  <c r="E205" i="23"/>
  <c r="F205" i="23"/>
  <c r="B206" i="23"/>
  <c r="C206" i="23"/>
  <c r="D206" i="23"/>
  <c r="E206" i="23"/>
  <c r="F206" i="23"/>
  <c r="B207" i="23"/>
  <c r="C207" i="23"/>
  <c r="D207" i="23"/>
  <c r="E207" i="23"/>
  <c r="F207" i="23"/>
  <c r="B208" i="23"/>
  <c r="C208" i="23"/>
  <c r="D208" i="23"/>
  <c r="E208" i="23"/>
  <c r="B223" i="23"/>
  <c r="C223" i="23"/>
  <c r="D223" i="23"/>
  <c r="E223" i="23"/>
  <c r="B224" i="23"/>
  <c r="C224" i="23"/>
  <c r="D224" i="23"/>
  <c r="E224" i="23"/>
  <c r="B225" i="23"/>
  <c r="C225" i="23"/>
  <c r="D225" i="23"/>
  <c r="E225" i="23"/>
  <c r="B226" i="23"/>
  <c r="B238" i="23" s="1"/>
  <c r="C226" i="23"/>
  <c r="C238" i="23" s="1"/>
  <c r="D226" i="23"/>
  <c r="D238" i="23" s="1"/>
  <c r="E226" i="23"/>
  <c r="E238" i="23" s="1"/>
  <c r="B229" i="23"/>
  <c r="C229" i="23"/>
  <c r="D229" i="23"/>
  <c r="E229" i="23"/>
  <c r="F229" i="23"/>
  <c r="F235" i="23" s="1"/>
  <c r="B230" i="23"/>
  <c r="C230" i="23"/>
  <c r="D230" i="23"/>
  <c r="E230" i="23"/>
  <c r="F230" i="23"/>
  <c r="F236" i="23" s="1"/>
  <c r="B231" i="23"/>
  <c r="C231" i="23"/>
  <c r="D231" i="23"/>
  <c r="E231" i="23"/>
  <c r="F231" i="23"/>
  <c r="F237" i="23" s="1"/>
  <c r="B241" i="23"/>
  <c r="C241" i="23"/>
  <c r="D241" i="23"/>
  <c r="E241" i="23"/>
  <c r="F241" i="23"/>
  <c r="B242" i="23"/>
  <c r="C242" i="23"/>
  <c r="D242" i="23"/>
  <c r="E242" i="23"/>
  <c r="F242" i="23"/>
  <c r="B243" i="23"/>
  <c r="C243" i="23"/>
  <c r="D243" i="23"/>
  <c r="E243" i="23"/>
  <c r="F243" i="23"/>
  <c r="B244" i="23"/>
  <c r="C244" i="23"/>
  <c r="D244" i="23"/>
  <c r="E244" i="23"/>
  <c r="F269" i="23"/>
  <c r="E269" i="23"/>
  <c r="D269" i="23"/>
  <c r="C269" i="23"/>
  <c r="B269" i="23"/>
  <c r="F270" i="23"/>
  <c r="E270" i="23"/>
  <c r="D270" i="23"/>
  <c r="C270" i="23"/>
  <c r="B270" i="23"/>
  <c r="F271" i="23"/>
  <c r="E271" i="23"/>
  <c r="D271" i="23"/>
  <c r="C271" i="23"/>
  <c r="B271" i="23"/>
  <c r="F272" i="23"/>
  <c r="E272" i="23"/>
  <c r="D272" i="23"/>
  <c r="C272" i="23"/>
  <c r="B272" i="23"/>
  <c r="F278" i="23"/>
  <c r="E278" i="23"/>
  <c r="D278" i="23"/>
  <c r="C278" i="23"/>
  <c r="B278" i="23"/>
  <c r="F277" i="23"/>
  <c r="E277" i="23"/>
  <c r="D277" i="23"/>
  <c r="C277" i="23"/>
  <c r="B277" i="23"/>
  <c r="B257" i="23"/>
  <c r="C257" i="23"/>
  <c r="D257" i="23"/>
  <c r="E257" i="23"/>
  <c r="F257" i="23"/>
  <c r="B258" i="23"/>
  <c r="C258" i="23"/>
  <c r="D258" i="23"/>
  <c r="E258" i="23"/>
  <c r="F258" i="23"/>
  <c r="B259" i="23"/>
  <c r="C259" i="23"/>
  <c r="D259" i="23"/>
  <c r="E259" i="23"/>
  <c r="F259" i="23"/>
  <c r="B260" i="23"/>
  <c r="C260" i="23"/>
  <c r="D260" i="23"/>
  <c r="E260" i="23"/>
  <c r="F260" i="23"/>
  <c r="B263" i="23"/>
  <c r="C263" i="23"/>
  <c r="D263" i="23"/>
  <c r="E263" i="23"/>
  <c r="F263" i="23"/>
  <c r="B264" i="23"/>
  <c r="C264" i="23"/>
  <c r="D264" i="23"/>
  <c r="E264" i="23"/>
  <c r="F264" i="23"/>
  <c r="B265" i="23"/>
  <c r="C265" i="23"/>
  <c r="D265" i="23"/>
  <c r="E265" i="23"/>
  <c r="F265" i="23"/>
  <c r="B275" i="23"/>
  <c r="C275" i="23"/>
  <c r="D275" i="23"/>
  <c r="E275" i="23"/>
  <c r="F275" i="23"/>
  <c r="B276" i="23"/>
  <c r="C276" i="23"/>
  <c r="D276" i="23"/>
  <c r="E276" i="23"/>
  <c r="F276" i="23"/>
  <c r="B291" i="23"/>
  <c r="C291" i="23"/>
  <c r="D291" i="23"/>
  <c r="E291" i="23"/>
  <c r="B292" i="23"/>
  <c r="C292" i="23"/>
  <c r="D292" i="23"/>
  <c r="E292" i="23"/>
  <c r="B293" i="23"/>
  <c r="C293" i="23"/>
  <c r="D293" i="23"/>
  <c r="E293" i="23"/>
  <c r="B294" i="23"/>
  <c r="C294" i="23"/>
  <c r="D294" i="23"/>
  <c r="E294" i="23"/>
  <c r="B297" i="23"/>
  <c r="C297" i="23"/>
  <c r="D297" i="23"/>
  <c r="E297" i="23"/>
  <c r="F297" i="23"/>
  <c r="B298" i="23"/>
  <c r="C298" i="23"/>
  <c r="D298" i="23"/>
  <c r="E298" i="23"/>
  <c r="F298" i="23"/>
  <c r="B299" i="23"/>
  <c r="C299" i="23"/>
  <c r="D299" i="23"/>
  <c r="E299" i="23"/>
  <c r="F299" i="23"/>
  <c r="B309" i="23"/>
  <c r="C309" i="23"/>
  <c r="D309" i="23"/>
  <c r="E309" i="23"/>
  <c r="F309" i="23"/>
  <c r="B310" i="23"/>
  <c r="C310" i="23"/>
  <c r="D310" i="23"/>
  <c r="E310" i="23"/>
  <c r="F310" i="23"/>
  <c r="B311" i="23"/>
  <c r="C311" i="23"/>
  <c r="D311" i="23"/>
  <c r="E311" i="23"/>
  <c r="F311" i="23"/>
  <c r="B312" i="23"/>
  <c r="C312" i="23"/>
  <c r="D312" i="23"/>
  <c r="E312" i="23"/>
  <c r="B327" i="23"/>
  <c r="C327" i="23"/>
  <c r="D327" i="23"/>
  <c r="E327" i="23"/>
  <c r="B328" i="23"/>
  <c r="C328" i="23"/>
  <c r="D328" i="23"/>
  <c r="E328" i="23"/>
  <c r="B329" i="23"/>
  <c r="C329" i="23"/>
  <c r="D329" i="23"/>
  <c r="E329" i="23"/>
  <c r="B330" i="23"/>
  <c r="B342" i="23" s="1"/>
  <c r="C330" i="23"/>
  <c r="C342" i="23" s="1"/>
  <c r="D330" i="23"/>
  <c r="D342" i="23" s="1"/>
  <c r="E330" i="23"/>
  <c r="E342" i="23" s="1"/>
  <c r="B333" i="23"/>
  <c r="C333" i="23"/>
  <c r="D333" i="23"/>
  <c r="E333" i="23"/>
  <c r="F333" i="23"/>
  <c r="F339" i="23" s="1"/>
  <c r="B334" i="23"/>
  <c r="C334" i="23"/>
  <c r="D334" i="23"/>
  <c r="E334" i="23"/>
  <c r="F334" i="23"/>
  <c r="F340" i="23" s="1"/>
  <c r="B335" i="23"/>
  <c r="C335" i="23"/>
  <c r="D335" i="23"/>
  <c r="E335" i="23"/>
  <c r="F335" i="23"/>
  <c r="F341" i="23" s="1"/>
  <c r="B345" i="23"/>
  <c r="C345" i="23"/>
  <c r="D345" i="23"/>
  <c r="E345" i="23"/>
  <c r="F345" i="23"/>
  <c r="B346" i="23"/>
  <c r="C346" i="23"/>
  <c r="D346" i="23"/>
  <c r="E346" i="23"/>
  <c r="F346" i="23"/>
  <c r="B347" i="23"/>
  <c r="C347" i="23"/>
  <c r="D347" i="23"/>
  <c r="E347" i="23"/>
  <c r="F347" i="23"/>
  <c r="B348" i="23"/>
  <c r="C348" i="23"/>
  <c r="D348" i="23"/>
  <c r="E348" i="23"/>
  <c r="B361" i="23"/>
  <c r="C361" i="23"/>
  <c r="D361" i="23"/>
  <c r="E361" i="23"/>
  <c r="F361" i="23"/>
  <c r="B362" i="23"/>
  <c r="C362" i="23"/>
  <c r="D362" i="23"/>
  <c r="E362" i="23"/>
  <c r="F362" i="23"/>
  <c r="B363" i="23"/>
  <c r="C363" i="23"/>
  <c r="D363" i="23"/>
  <c r="E363" i="23"/>
  <c r="F363" i="23"/>
  <c r="B364" i="23"/>
  <c r="C364" i="23"/>
  <c r="D364" i="23"/>
  <c r="E364" i="23"/>
  <c r="F364" i="23"/>
  <c r="B367" i="23"/>
  <c r="C367" i="23"/>
  <c r="D367" i="23"/>
  <c r="E367" i="23"/>
  <c r="F367" i="23"/>
  <c r="B368" i="23"/>
  <c r="C368" i="23"/>
  <c r="D368" i="23"/>
  <c r="E368" i="23"/>
  <c r="F368" i="23"/>
  <c r="B369" i="23"/>
  <c r="C369" i="23"/>
  <c r="D369" i="23"/>
  <c r="E369" i="23"/>
  <c r="F369" i="23"/>
  <c r="B379" i="23"/>
  <c r="C379" i="23"/>
  <c r="D379" i="23"/>
  <c r="E379" i="23"/>
  <c r="F379" i="23"/>
  <c r="B380" i="23"/>
  <c r="C380" i="23"/>
  <c r="D380" i="23"/>
  <c r="E380" i="23"/>
  <c r="F380" i="23"/>
  <c r="B381" i="23"/>
  <c r="C381" i="23"/>
  <c r="D381" i="23"/>
  <c r="E381" i="23"/>
  <c r="F381" i="23"/>
  <c r="B382" i="23"/>
  <c r="C382" i="23"/>
  <c r="D382" i="23"/>
  <c r="E382" i="23"/>
  <c r="B395" i="23"/>
  <c r="C395" i="23"/>
  <c r="D395" i="23"/>
  <c r="E395" i="23"/>
  <c r="B396" i="23"/>
  <c r="C396" i="23"/>
  <c r="D396" i="23"/>
  <c r="E396" i="23"/>
  <c r="B397" i="23"/>
  <c r="C397" i="23"/>
  <c r="D397" i="23"/>
  <c r="E397" i="23"/>
  <c r="B398" i="23"/>
  <c r="C398" i="23"/>
  <c r="D398" i="23"/>
  <c r="E398" i="23"/>
  <c r="B401" i="23"/>
  <c r="C401" i="23"/>
  <c r="D401" i="23"/>
  <c r="E401" i="23"/>
  <c r="F401" i="23"/>
  <c r="B402" i="23"/>
  <c r="C402" i="23"/>
  <c r="D402" i="23"/>
  <c r="E402" i="23"/>
  <c r="F402" i="23"/>
  <c r="B403" i="23"/>
  <c r="C403" i="23"/>
  <c r="D403" i="23"/>
  <c r="E403" i="23"/>
  <c r="F403" i="23"/>
  <c r="B413" i="23"/>
  <c r="C413" i="23"/>
  <c r="D413" i="23"/>
  <c r="E413" i="23"/>
  <c r="F413" i="23"/>
  <c r="B414" i="23"/>
  <c r="C414" i="23"/>
  <c r="D414" i="23"/>
  <c r="E414" i="23"/>
  <c r="F414" i="23"/>
  <c r="B415" i="23"/>
  <c r="C415" i="23"/>
  <c r="D415" i="23"/>
  <c r="E415" i="23"/>
  <c r="F415" i="23"/>
  <c r="B416" i="23"/>
  <c r="C416" i="23"/>
  <c r="D416" i="23"/>
  <c r="E416" i="23"/>
  <c r="B431" i="23"/>
  <c r="C431" i="23"/>
  <c r="D431" i="23"/>
  <c r="E431" i="23"/>
  <c r="B432" i="23"/>
  <c r="C432" i="23"/>
  <c r="D432" i="23"/>
  <c r="E432" i="23"/>
  <c r="B433" i="23"/>
  <c r="C433" i="23"/>
  <c r="D433" i="23"/>
  <c r="E433" i="23"/>
  <c r="B434" i="23"/>
  <c r="B446" i="23" s="1"/>
  <c r="C434" i="23"/>
  <c r="C446" i="23" s="1"/>
  <c r="D434" i="23"/>
  <c r="D446" i="23" s="1"/>
  <c r="E434" i="23"/>
  <c r="E446" i="23" s="1"/>
  <c r="B437" i="23"/>
  <c r="C437" i="23"/>
  <c r="D437" i="23"/>
  <c r="E437" i="23"/>
  <c r="F437" i="23"/>
  <c r="F443" i="23" s="1"/>
  <c r="B438" i="23"/>
  <c r="C438" i="23"/>
  <c r="D438" i="23"/>
  <c r="E438" i="23"/>
  <c r="F438" i="23"/>
  <c r="F444" i="23" s="1"/>
  <c r="B439" i="23"/>
  <c r="C439" i="23"/>
  <c r="D439" i="23"/>
  <c r="E439" i="23"/>
  <c r="F439" i="23"/>
  <c r="F445" i="23" s="1"/>
  <c r="B449" i="23"/>
  <c r="C449" i="23"/>
  <c r="D449" i="23"/>
  <c r="E449" i="23"/>
  <c r="F449" i="23"/>
  <c r="B450" i="23"/>
  <c r="C450" i="23"/>
  <c r="D450" i="23"/>
  <c r="E450" i="23"/>
  <c r="F450" i="23"/>
  <c r="B451" i="23"/>
  <c r="C451" i="23"/>
  <c r="D451" i="23"/>
  <c r="E451" i="23"/>
  <c r="F451" i="23"/>
  <c r="B452" i="23"/>
  <c r="C452" i="23"/>
  <c r="D452" i="23"/>
  <c r="E452" i="23"/>
  <c r="F480" i="23"/>
  <c r="E480" i="23"/>
  <c r="D480" i="23"/>
  <c r="C480" i="23"/>
  <c r="B480" i="23"/>
  <c r="B465" i="23"/>
  <c r="C465" i="23"/>
  <c r="D465" i="23"/>
  <c r="E465" i="23"/>
  <c r="F465" i="23"/>
  <c r="B466" i="23"/>
  <c r="C466" i="23"/>
  <c r="D466" i="23"/>
  <c r="E466" i="23"/>
  <c r="F466" i="23"/>
  <c r="B467" i="23"/>
  <c r="C467" i="23"/>
  <c r="D467" i="23"/>
  <c r="E467" i="23"/>
  <c r="F467" i="23"/>
  <c r="B468" i="23"/>
  <c r="C468" i="23"/>
  <c r="D468" i="23"/>
  <c r="E468" i="23"/>
  <c r="F468" i="23"/>
  <c r="B471" i="23"/>
  <c r="C471" i="23"/>
  <c r="D471" i="23"/>
  <c r="E471" i="23"/>
  <c r="F471" i="23"/>
  <c r="B472" i="23"/>
  <c r="C472" i="23"/>
  <c r="D472" i="23"/>
  <c r="E472" i="23"/>
  <c r="F472" i="23"/>
  <c r="B473" i="23"/>
  <c r="C473" i="23"/>
  <c r="D473" i="23"/>
  <c r="E473" i="23"/>
  <c r="F473" i="23"/>
  <c r="B483" i="23"/>
  <c r="C483" i="23"/>
  <c r="D483" i="23"/>
  <c r="E483" i="23"/>
  <c r="F483" i="23"/>
  <c r="B484" i="23"/>
  <c r="C484" i="23"/>
  <c r="D484" i="23"/>
  <c r="E484" i="23"/>
  <c r="F484" i="23"/>
  <c r="B485" i="23"/>
  <c r="C485" i="23"/>
  <c r="D485" i="23"/>
  <c r="E485" i="23"/>
  <c r="F485" i="23"/>
  <c r="B486" i="23"/>
  <c r="C486" i="23"/>
  <c r="D486" i="23"/>
  <c r="E486" i="23"/>
  <c r="B477" i="23"/>
  <c r="C477" i="23"/>
  <c r="D477" i="23"/>
  <c r="E477" i="23"/>
  <c r="B478" i="23"/>
  <c r="C478" i="23"/>
  <c r="D478" i="23"/>
  <c r="E478" i="23"/>
  <c r="B479" i="23"/>
  <c r="C479" i="23"/>
  <c r="D479" i="23"/>
  <c r="E479" i="23"/>
  <c r="B499" i="23"/>
  <c r="C499" i="23"/>
  <c r="D499" i="23"/>
  <c r="E499" i="23"/>
  <c r="B500" i="23"/>
  <c r="C500" i="23"/>
  <c r="D500" i="23"/>
  <c r="E500" i="23"/>
  <c r="B501" i="23"/>
  <c r="C501" i="23"/>
  <c r="D501" i="23"/>
  <c r="E501" i="23"/>
  <c r="B502" i="23"/>
  <c r="C502" i="23"/>
  <c r="D502" i="23"/>
  <c r="E502" i="23"/>
  <c r="B505" i="23"/>
  <c r="C505" i="23"/>
  <c r="D505" i="23"/>
  <c r="E505" i="23"/>
  <c r="F505" i="23"/>
  <c r="B506" i="23"/>
  <c r="C506" i="23"/>
  <c r="D506" i="23"/>
  <c r="E506" i="23"/>
  <c r="F506" i="23"/>
  <c r="B507" i="23"/>
  <c r="C507" i="23"/>
  <c r="D507" i="23"/>
  <c r="E507" i="23"/>
  <c r="F507" i="23"/>
  <c r="B517" i="23"/>
  <c r="C517" i="23"/>
  <c r="D517" i="23"/>
  <c r="E517" i="23"/>
  <c r="F517" i="23"/>
  <c r="B518" i="23"/>
  <c r="C518" i="23"/>
  <c r="D518" i="23"/>
  <c r="E518" i="23"/>
  <c r="F518" i="23"/>
  <c r="B519" i="23"/>
  <c r="C519" i="23"/>
  <c r="D519" i="23"/>
  <c r="E519" i="23"/>
  <c r="F519" i="23"/>
  <c r="B520" i="23"/>
  <c r="C520" i="23"/>
  <c r="D520" i="23"/>
  <c r="E520" i="23"/>
  <c r="B28" i="23" l="1"/>
  <c r="B27" i="23"/>
  <c r="E445" i="23"/>
  <c r="D445" i="23"/>
  <c r="C445" i="23"/>
  <c r="B445" i="23"/>
  <c r="E444" i="23"/>
  <c r="D444" i="23"/>
  <c r="C444" i="23"/>
  <c r="B444" i="23"/>
  <c r="E443" i="23"/>
  <c r="D443" i="23"/>
  <c r="C443" i="23"/>
  <c r="B443" i="23"/>
  <c r="E341" i="23"/>
  <c r="D341" i="23"/>
  <c r="C341" i="23"/>
  <c r="B341" i="23"/>
  <c r="E340" i="23"/>
  <c r="D340" i="23"/>
  <c r="C340" i="23"/>
  <c r="B340" i="23"/>
  <c r="E339" i="23"/>
  <c r="D339" i="23"/>
  <c r="C339" i="23"/>
  <c r="B339" i="23"/>
  <c r="E237" i="23"/>
  <c r="D237" i="23"/>
  <c r="C237" i="23"/>
  <c r="B237" i="23"/>
  <c r="E236" i="23"/>
  <c r="D236" i="23"/>
  <c r="C236" i="23"/>
  <c r="B236" i="23"/>
  <c r="E235" i="23"/>
  <c r="D235" i="23"/>
  <c r="C235" i="23"/>
  <c r="B235" i="23"/>
  <c r="E133" i="23"/>
  <c r="D133" i="23"/>
  <c r="C133" i="23"/>
  <c r="B133" i="23"/>
  <c r="E132" i="23"/>
  <c r="D132" i="23"/>
  <c r="C132" i="23"/>
  <c r="B132" i="23"/>
  <c r="E131" i="23"/>
  <c r="D131" i="23"/>
  <c r="C131" i="23"/>
  <c r="B131" i="23"/>
  <c r="E29" i="23"/>
  <c r="D29" i="23"/>
  <c r="C29" i="23"/>
  <c r="B29" i="23"/>
  <c r="E28" i="23"/>
  <c r="D28" i="23"/>
  <c r="C28" i="23"/>
  <c r="E27" i="23"/>
  <c r="D27" i="23"/>
  <c r="C27" i="23"/>
  <c r="I10" i="21"/>
  <c r="C10" i="21"/>
  <c r="D10" i="21"/>
  <c r="E10" i="21"/>
  <c r="F10" i="21"/>
  <c r="B10" i="21"/>
  <c r="I5" i="21"/>
  <c r="I6" i="21"/>
  <c r="I7" i="21"/>
  <c r="I4" i="21"/>
  <c r="F9" i="21"/>
  <c r="E9" i="21"/>
  <c r="D9" i="21"/>
  <c r="C9" i="21"/>
  <c r="G8" i="21"/>
  <c r="F8" i="21"/>
  <c r="E8" i="21"/>
  <c r="D8" i="21"/>
  <c r="C8" i="21"/>
  <c r="B23" i="21"/>
  <c r="H7" i="21"/>
  <c r="G7" i="21"/>
  <c r="H6" i="21"/>
  <c r="G6" i="21"/>
  <c r="H5" i="21"/>
  <c r="G5" i="21"/>
  <c r="H4" i="21"/>
  <c r="G4" i="21"/>
  <c r="G8" i="20"/>
  <c r="F34" i="20" s="1"/>
  <c r="N34" i="20" s="1"/>
  <c r="F8" i="20"/>
  <c r="E8" i="20"/>
  <c r="E22" i="20" s="1"/>
  <c r="M22" i="20" s="1"/>
  <c r="D8" i="20"/>
  <c r="D22" i="20" s="1"/>
  <c r="L22" i="20" s="1"/>
  <c r="C8" i="20"/>
  <c r="C22" i="20" s="1"/>
  <c r="K22" i="20" s="1"/>
  <c r="B8" i="20"/>
  <c r="B22" i="20" s="1"/>
  <c r="J22" i="20" s="1"/>
  <c r="G7" i="20"/>
  <c r="G6" i="20"/>
  <c r="G5" i="20"/>
  <c r="G4" i="20"/>
  <c r="H9" i="18"/>
  <c r="F9" i="18"/>
  <c r="E9" i="18"/>
  <c r="D9" i="18"/>
  <c r="C9" i="18"/>
  <c r="B9" i="18"/>
  <c r="G8" i="18"/>
  <c r="F34" i="18" s="1"/>
  <c r="O34" i="18" s="1"/>
  <c r="F8" i="18"/>
  <c r="F22" i="18" s="1"/>
  <c r="E8" i="18"/>
  <c r="E22" i="18" s="1"/>
  <c r="D8" i="18"/>
  <c r="D22" i="18" s="1"/>
  <c r="C8" i="18"/>
  <c r="C22" i="18" s="1"/>
  <c r="B8" i="18"/>
  <c r="B22" i="18" s="1"/>
  <c r="H7" i="18"/>
  <c r="G7" i="18"/>
  <c r="H6" i="18"/>
  <c r="G6" i="18"/>
  <c r="H5" i="18"/>
  <c r="G5" i="18"/>
  <c r="H4" i="18"/>
  <c r="G4" i="18"/>
  <c r="G8" i="1"/>
  <c r="F8" i="1"/>
  <c r="E8" i="1"/>
  <c r="D8" i="1"/>
  <c r="C8" i="1"/>
  <c r="B8" i="1"/>
  <c r="G7" i="1"/>
  <c r="G6" i="1"/>
  <c r="G5" i="1"/>
  <c r="G4" i="1"/>
  <c r="F51" i="21" l="1"/>
  <c r="E51" i="21"/>
  <c r="D51" i="21"/>
  <c r="B51" i="21"/>
  <c r="C51" i="21"/>
  <c r="F39" i="21"/>
  <c r="E39" i="21"/>
  <c r="D39" i="21"/>
  <c r="C39" i="21"/>
  <c r="B39" i="21"/>
  <c r="F52" i="21"/>
  <c r="E52" i="21"/>
  <c r="D52" i="21"/>
  <c r="C52" i="21"/>
  <c r="B52" i="21"/>
  <c r="F40" i="21"/>
  <c r="E40" i="21"/>
  <c r="D40" i="21"/>
  <c r="C40" i="21"/>
  <c r="B40" i="21"/>
  <c r="F53" i="21"/>
  <c r="E53" i="21"/>
  <c r="D53" i="21"/>
  <c r="C53" i="21"/>
  <c r="B53" i="21"/>
  <c r="F41" i="21"/>
  <c r="E41" i="21"/>
  <c r="D41" i="21"/>
  <c r="C41" i="21"/>
  <c r="B41" i="21"/>
  <c r="F54" i="21"/>
  <c r="E54" i="21"/>
  <c r="D54" i="21"/>
  <c r="C54" i="21"/>
  <c r="B54" i="21"/>
  <c r="F42" i="21"/>
  <c r="E42" i="21"/>
  <c r="D42" i="21"/>
  <c r="C42" i="21"/>
  <c r="B42" i="21"/>
  <c r="C23" i="21"/>
  <c r="C48" i="21"/>
  <c r="C47" i="21"/>
  <c r="C46" i="21"/>
  <c r="C45" i="21"/>
  <c r="D23" i="21"/>
  <c r="D48" i="21"/>
  <c r="D47" i="21"/>
  <c r="D46" i="21"/>
  <c r="D45" i="21"/>
  <c r="E48" i="21"/>
  <c r="E47" i="21"/>
  <c r="E46" i="21"/>
  <c r="E45" i="21"/>
  <c r="F48" i="21"/>
  <c r="F47" i="21"/>
  <c r="F46" i="21"/>
  <c r="F45" i="21"/>
  <c r="F60" i="21"/>
  <c r="E60" i="21"/>
  <c r="D60" i="21"/>
  <c r="C60" i="21"/>
  <c r="B60" i="21"/>
  <c r="F59" i="21"/>
  <c r="E59" i="21"/>
  <c r="D59" i="21"/>
  <c r="C59" i="21"/>
  <c r="B59" i="21"/>
  <c r="F58" i="21"/>
  <c r="E58" i="21"/>
  <c r="D58" i="21"/>
  <c r="C58" i="21"/>
  <c r="B58" i="21"/>
  <c r="F57" i="21"/>
  <c r="E57" i="21"/>
  <c r="D57" i="21"/>
  <c r="C57" i="21"/>
  <c r="B57" i="21"/>
  <c r="B48" i="21"/>
  <c r="B47" i="21"/>
  <c r="B46" i="21"/>
  <c r="B45" i="21"/>
  <c r="B17" i="1"/>
  <c r="F23" i="1"/>
  <c r="E23" i="1"/>
  <c r="D23" i="1"/>
  <c r="C23" i="1"/>
  <c r="B23" i="1"/>
  <c r="F24" i="1"/>
  <c r="E24" i="1"/>
  <c r="D24" i="1"/>
  <c r="C24" i="1"/>
  <c r="B24" i="1"/>
  <c r="F25" i="1"/>
  <c r="E25" i="1"/>
  <c r="D25" i="1"/>
  <c r="C25" i="1"/>
  <c r="B25" i="1"/>
  <c r="F26" i="1"/>
  <c r="E26" i="1"/>
  <c r="D26" i="1"/>
  <c r="C26" i="1"/>
  <c r="B26" i="1"/>
  <c r="I14" i="1"/>
  <c r="I13" i="1"/>
  <c r="I12" i="1"/>
  <c r="I11" i="1"/>
  <c r="J14" i="1"/>
  <c r="J13" i="1"/>
  <c r="J12" i="1"/>
  <c r="J11" i="1"/>
  <c r="K14" i="1"/>
  <c r="K13" i="1"/>
  <c r="K12" i="1"/>
  <c r="K11" i="1"/>
  <c r="L14" i="1"/>
  <c r="L13" i="1"/>
  <c r="L12" i="1"/>
  <c r="L11" i="1"/>
  <c r="M14" i="1"/>
  <c r="M13" i="1"/>
  <c r="M12" i="1"/>
  <c r="M1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B26" i="21"/>
  <c r="F26" i="21"/>
  <c r="E26" i="21"/>
  <c r="D26" i="21"/>
  <c r="C26" i="21"/>
  <c r="B14" i="21"/>
  <c r="D27" i="21"/>
  <c r="F27" i="21"/>
  <c r="E27" i="21"/>
  <c r="C27" i="21"/>
  <c r="B27" i="21"/>
  <c r="F28" i="21"/>
  <c r="E28" i="21"/>
  <c r="D28" i="21"/>
  <c r="C28" i="21"/>
  <c r="B28" i="21"/>
  <c r="F29" i="21"/>
  <c r="E29" i="21"/>
  <c r="D29" i="21"/>
  <c r="C29" i="21"/>
  <c r="B29" i="21"/>
  <c r="F14" i="20"/>
  <c r="E26" i="20"/>
  <c r="D26" i="20"/>
  <c r="C26" i="20"/>
  <c r="B26" i="20"/>
  <c r="F15" i="20"/>
  <c r="E27" i="20"/>
  <c r="D27" i="20"/>
  <c r="C27" i="20"/>
  <c r="B27" i="20"/>
  <c r="F16" i="20"/>
  <c r="E28" i="20"/>
  <c r="D28" i="20"/>
  <c r="C28" i="20"/>
  <c r="B28" i="20"/>
  <c r="B19" i="20"/>
  <c r="J19" i="20" s="1"/>
  <c r="C19" i="20"/>
  <c r="K19" i="20" s="1"/>
  <c r="D19" i="20"/>
  <c r="L19" i="20" s="1"/>
  <c r="E19" i="20"/>
  <c r="M19" i="20" s="1"/>
  <c r="B20" i="20"/>
  <c r="J20" i="20" s="1"/>
  <c r="C20" i="20"/>
  <c r="K20" i="20" s="1"/>
  <c r="D20" i="20"/>
  <c r="L20" i="20" s="1"/>
  <c r="E20" i="20"/>
  <c r="M20" i="20" s="1"/>
  <c r="B21" i="20"/>
  <c r="J21" i="20" s="1"/>
  <c r="C21" i="20"/>
  <c r="K21" i="20" s="1"/>
  <c r="D21" i="20"/>
  <c r="L21" i="20" s="1"/>
  <c r="E21" i="20"/>
  <c r="M21" i="20" s="1"/>
  <c r="F25" i="18"/>
  <c r="E25" i="18"/>
  <c r="D25" i="18"/>
  <c r="C25" i="18"/>
  <c r="B25" i="18"/>
  <c r="F14" i="18"/>
  <c r="B26" i="18"/>
  <c r="F26" i="18"/>
  <c r="E26" i="18"/>
  <c r="D26" i="18"/>
  <c r="C26" i="18"/>
  <c r="F15" i="18"/>
  <c r="F27" i="18"/>
  <c r="E27" i="18"/>
  <c r="D27" i="18"/>
  <c r="C27" i="18"/>
  <c r="B27" i="18"/>
  <c r="F16" i="18"/>
  <c r="F28" i="18"/>
  <c r="E28" i="18"/>
  <c r="D28" i="18"/>
  <c r="C28" i="18"/>
  <c r="B28" i="18"/>
  <c r="F13" i="20"/>
  <c r="F25" i="20"/>
  <c r="E25" i="20"/>
  <c r="D25" i="20"/>
  <c r="C25" i="20"/>
  <c r="B25" i="20"/>
  <c r="F28" i="20"/>
  <c r="F27" i="20"/>
  <c r="F26" i="20"/>
  <c r="F19" i="20"/>
  <c r="N19" i="20" s="1"/>
  <c r="F20" i="20"/>
  <c r="N20" i="20" s="1"/>
  <c r="F21" i="20"/>
  <c r="N21" i="20" s="1"/>
  <c r="F22" i="20"/>
  <c r="N22" i="20" s="1"/>
  <c r="B31" i="20"/>
  <c r="J31" i="20" s="1"/>
  <c r="C31" i="20"/>
  <c r="K31" i="20" s="1"/>
  <c r="D31" i="20"/>
  <c r="L31" i="20" s="1"/>
  <c r="E31" i="20"/>
  <c r="M31" i="20" s="1"/>
  <c r="F31" i="20"/>
  <c r="N31" i="20" s="1"/>
  <c r="B32" i="20"/>
  <c r="J32" i="20" s="1"/>
  <c r="C32" i="20"/>
  <c r="K32" i="20" s="1"/>
  <c r="D32" i="20"/>
  <c r="L32" i="20" s="1"/>
  <c r="E32" i="20"/>
  <c r="M32" i="20" s="1"/>
  <c r="F32" i="20"/>
  <c r="N32" i="20" s="1"/>
  <c r="B33" i="20"/>
  <c r="J33" i="20" s="1"/>
  <c r="C33" i="20"/>
  <c r="K33" i="20" s="1"/>
  <c r="D33" i="20"/>
  <c r="L33" i="20" s="1"/>
  <c r="E33" i="20"/>
  <c r="M33" i="20" s="1"/>
  <c r="F33" i="20"/>
  <c r="N33" i="20" s="1"/>
  <c r="B34" i="20"/>
  <c r="J34" i="20" s="1"/>
  <c r="C34" i="20"/>
  <c r="K34" i="20" s="1"/>
  <c r="D34" i="20"/>
  <c r="L34" i="20" s="1"/>
  <c r="E34" i="20"/>
  <c r="M34" i="20" s="1"/>
  <c r="B13" i="20"/>
  <c r="F17" i="1"/>
  <c r="E17" i="1"/>
  <c r="D17" i="1"/>
  <c r="C17" i="1"/>
  <c r="F18" i="1"/>
  <c r="E18" i="1"/>
  <c r="D18" i="1"/>
  <c r="C18" i="1"/>
  <c r="B18" i="1"/>
  <c r="F19" i="1"/>
  <c r="E19" i="1"/>
  <c r="D19" i="1"/>
  <c r="C19" i="1"/>
  <c r="B19" i="1"/>
  <c r="F20" i="1"/>
  <c r="E20" i="1"/>
  <c r="D20" i="1"/>
  <c r="C20" i="1"/>
  <c r="B20" i="1"/>
  <c r="F14" i="21"/>
  <c r="F15" i="21"/>
  <c r="F16" i="21"/>
  <c r="F17" i="21"/>
  <c r="E23" i="21"/>
  <c r="E22" i="21"/>
  <c r="F23" i="21"/>
  <c r="F22" i="21"/>
  <c r="F35" i="21"/>
  <c r="E35" i="21"/>
  <c r="D35" i="21"/>
  <c r="C35" i="21"/>
  <c r="B35" i="21"/>
  <c r="F34" i="21"/>
  <c r="E34" i="21"/>
  <c r="D34" i="21"/>
  <c r="C34" i="21"/>
  <c r="B34" i="21"/>
  <c r="F33" i="21"/>
  <c r="E33" i="21"/>
  <c r="D33" i="21"/>
  <c r="C33" i="21"/>
  <c r="B33" i="21"/>
  <c r="F32" i="21"/>
  <c r="E32" i="21"/>
  <c r="D32" i="21"/>
  <c r="C32" i="21"/>
  <c r="B32" i="21"/>
  <c r="C20" i="21"/>
  <c r="D20" i="21"/>
  <c r="E20" i="21"/>
  <c r="F20" i="21"/>
  <c r="B21" i="21"/>
  <c r="C21" i="21"/>
  <c r="D21" i="21"/>
  <c r="E21" i="21"/>
  <c r="F21" i="21"/>
  <c r="B22" i="21"/>
  <c r="C22" i="21"/>
  <c r="D22" i="21"/>
  <c r="F13" i="18"/>
  <c r="K25" i="18"/>
  <c r="K22" i="18"/>
  <c r="L22" i="18"/>
  <c r="M22" i="18"/>
  <c r="N22" i="18"/>
  <c r="O22" i="18"/>
  <c r="O28" i="18"/>
  <c r="B31" i="18"/>
  <c r="K31" i="18" s="1"/>
  <c r="C31" i="18"/>
  <c r="L31" i="18" s="1"/>
  <c r="D31" i="18"/>
  <c r="M31" i="18" s="1"/>
  <c r="E31" i="18"/>
  <c r="N31" i="18" s="1"/>
  <c r="F31" i="18"/>
  <c r="O31" i="18" s="1"/>
  <c r="B32" i="18"/>
  <c r="K32" i="18" s="1"/>
  <c r="C32" i="18"/>
  <c r="L32" i="18" s="1"/>
  <c r="D32" i="18"/>
  <c r="M32" i="18" s="1"/>
  <c r="E32" i="18"/>
  <c r="N32" i="18" s="1"/>
  <c r="F32" i="18"/>
  <c r="O32" i="18" s="1"/>
  <c r="B33" i="18"/>
  <c r="K33" i="18" s="1"/>
  <c r="C33" i="18"/>
  <c r="L33" i="18" s="1"/>
  <c r="D33" i="18"/>
  <c r="M33" i="18" s="1"/>
  <c r="E33" i="18"/>
  <c r="N33" i="18" s="1"/>
  <c r="F33" i="18"/>
  <c r="O33" i="18" s="1"/>
  <c r="B34" i="18"/>
  <c r="K34" i="18" s="1"/>
  <c r="C34" i="18"/>
  <c r="L34" i="18" s="1"/>
  <c r="D34" i="18"/>
  <c r="M34" i="18" s="1"/>
  <c r="E34" i="18"/>
  <c r="N34" i="18" s="1"/>
  <c r="B19" i="18"/>
  <c r="K19" i="18" s="1"/>
  <c r="C19" i="18"/>
  <c r="D19" i="18"/>
  <c r="E19" i="18"/>
  <c r="F19" i="18"/>
  <c r="B20" i="18"/>
  <c r="C20" i="18"/>
  <c r="D20" i="18"/>
  <c r="E20" i="18"/>
  <c r="F20" i="18"/>
  <c r="B21" i="18"/>
  <c r="C21" i="18"/>
  <c r="D21" i="18"/>
  <c r="E21" i="18"/>
  <c r="F21" i="18"/>
  <c r="F11" i="1"/>
  <c r="F12" i="1"/>
  <c r="F13" i="1"/>
  <c r="F14" i="1"/>
  <c r="C14" i="21"/>
  <c r="D14" i="21"/>
  <c r="E14" i="21"/>
  <c r="B15" i="21"/>
  <c r="C15" i="21"/>
  <c r="D15" i="21"/>
  <c r="E15" i="21"/>
  <c r="B16" i="21"/>
  <c r="C16" i="21"/>
  <c r="D16" i="21"/>
  <c r="E16" i="21"/>
  <c r="B17" i="21"/>
  <c r="C17" i="21"/>
  <c r="D17" i="21"/>
  <c r="E17" i="21"/>
  <c r="N25" i="20"/>
  <c r="N13" i="20"/>
  <c r="N26" i="20"/>
  <c r="N14" i="20"/>
  <c r="N27" i="20"/>
  <c r="N15" i="20"/>
  <c r="N28" i="20"/>
  <c r="N16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O13" i="18"/>
  <c r="O14" i="18"/>
  <c r="O15" i="18"/>
  <c r="O16" i="18"/>
  <c r="B13" i="18"/>
  <c r="C13" i="18"/>
  <c r="D13" i="18"/>
  <c r="E13" i="18"/>
  <c r="B14" i="18"/>
  <c r="C14" i="18"/>
  <c r="D14" i="18"/>
  <c r="E14" i="18"/>
  <c r="B15" i="18"/>
  <c r="C15" i="18"/>
  <c r="D15" i="18"/>
  <c r="E15" i="18"/>
  <c r="B16" i="18"/>
  <c r="C16" i="18"/>
  <c r="D16" i="18"/>
  <c r="E16" i="18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O21" i="18" l="1"/>
  <c r="O27" i="18"/>
  <c r="N21" i="18"/>
  <c r="N27" i="18"/>
  <c r="M21" i="18"/>
  <c r="M27" i="18"/>
  <c r="L21" i="18"/>
  <c r="L27" i="18"/>
  <c r="K21" i="18"/>
  <c r="K27" i="18"/>
  <c r="O20" i="18"/>
  <c r="O26" i="18"/>
  <c r="N20" i="18"/>
  <c r="N26" i="18"/>
  <c r="M20" i="18"/>
  <c r="M26" i="18"/>
  <c r="L20" i="18"/>
  <c r="L26" i="18"/>
  <c r="K20" i="18"/>
  <c r="K26" i="18"/>
  <c r="O19" i="18"/>
  <c r="O25" i="18"/>
  <c r="N19" i="18"/>
  <c r="N25" i="18"/>
  <c r="M19" i="18"/>
  <c r="M25" i="18"/>
  <c r="L19" i="18"/>
  <c r="L25" i="18"/>
  <c r="N28" i="18"/>
  <c r="M28" i="18"/>
  <c r="L28" i="18"/>
  <c r="K28" i="18"/>
  <c r="M28" i="20"/>
  <c r="M16" i="20"/>
  <c r="L28" i="20"/>
  <c r="L16" i="20"/>
  <c r="K28" i="20"/>
  <c r="K16" i="20"/>
  <c r="J28" i="20"/>
  <c r="J16" i="20"/>
  <c r="M27" i="20"/>
  <c r="M15" i="20"/>
  <c r="L27" i="20"/>
  <c r="L15" i="20"/>
  <c r="K27" i="20"/>
  <c r="K15" i="20"/>
  <c r="J27" i="20"/>
  <c r="J15" i="20"/>
  <c r="M26" i="20"/>
  <c r="M14" i="20"/>
  <c r="L26" i="20"/>
  <c r="L14" i="20"/>
  <c r="K26" i="20"/>
  <c r="K14" i="20"/>
  <c r="J26" i="20"/>
  <c r="J14" i="20"/>
  <c r="M25" i="20"/>
  <c r="M13" i="20"/>
  <c r="L25" i="20"/>
  <c r="L13" i="20"/>
  <c r="K25" i="20"/>
  <c r="K13" i="20"/>
  <c r="J25" i="20"/>
  <c r="J13" i="20"/>
  <c r="N16" i="18"/>
  <c r="M16" i="18"/>
  <c r="L16" i="18"/>
  <c r="K16" i="18"/>
  <c r="N15" i="18"/>
  <c r="M15" i="18"/>
  <c r="L15" i="18"/>
  <c r="K15" i="18"/>
  <c r="N14" i="18"/>
  <c r="M14" i="18"/>
  <c r="L14" i="18"/>
  <c r="K14" i="18"/>
  <c r="N13" i="18"/>
  <c r="M13" i="18"/>
  <c r="L13" i="18"/>
  <c r="K13" i="18"/>
  <c r="G15" i="15" l="1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G14" i="15"/>
  <c r="F14" i="15"/>
  <c r="D20" i="15"/>
  <c r="D19" i="15"/>
  <c r="D18" i="15"/>
  <c r="D17" i="15"/>
  <c r="D16" i="15"/>
  <c r="D15" i="15"/>
  <c r="D14" i="15"/>
  <c r="C19" i="15"/>
  <c r="C18" i="15"/>
  <c r="C17" i="15"/>
  <c r="C16" i="15"/>
  <c r="C15" i="15"/>
  <c r="C14" i="15"/>
  <c r="B18" i="15"/>
  <c r="B17" i="15"/>
  <c r="B16" i="15"/>
  <c r="B15" i="15"/>
  <c r="E14" i="15"/>
  <c r="E15" i="15"/>
  <c r="E16" i="15"/>
  <c r="E17" i="15"/>
  <c r="E18" i="15"/>
  <c r="E19" i="15"/>
  <c r="E20" i="15"/>
  <c r="E21" i="15"/>
  <c r="E22" i="15"/>
  <c r="E23" i="15"/>
  <c r="E24" i="15"/>
  <c r="F10" i="15"/>
  <c r="E10" i="15"/>
  <c r="D10" i="15"/>
  <c r="C10" i="15"/>
  <c r="B10" i="15"/>
  <c r="F9" i="15"/>
  <c r="E9" i="15"/>
  <c r="D9" i="15"/>
  <c r="C9" i="15"/>
  <c r="B9" i="15"/>
  <c r="F8" i="15"/>
  <c r="E8" i="15"/>
  <c r="D8" i="15"/>
  <c r="C8" i="15"/>
  <c r="B8" i="15"/>
  <c r="F7" i="15"/>
  <c r="E7" i="15"/>
  <c r="D7" i="15"/>
  <c r="C7" i="15"/>
  <c r="B7" i="15"/>
  <c r="F6" i="15"/>
  <c r="E6" i="15"/>
  <c r="D6" i="15"/>
  <c r="C6" i="15"/>
  <c r="B6" i="15"/>
  <c r="G42" i="15"/>
  <c r="F42" i="15"/>
  <c r="E42" i="15"/>
  <c r="D42" i="15"/>
  <c r="C42" i="15"/>
  <c r="B42" i="15"/>
  <c r="G41" i="15"/>
  <c r="G40" i="15"/>
  <c r="G39" i="15"/>
  <c r="G38" i="15"/>
  <c r="D6" i="13"/>
  <c r="C6" i="13"/>
  <c r="B6" i="13"/>
  <c r="E6" i="13" s="1"/>
  <c r="E5" i="13"/>
  <c r="D14" i="13" s="1"/>
  <c r="E4" i="13"/>
  <c r="D13" i="13" s="1"/>
  <c r="G24" i="13"/>
  <c r="F24" i="13"/>
  <c r="E24" i="13"/>
  <c r="D24" i="13"/>
  <c r="C24" i="13"/>
  <c r="B24" i="13"/>
  <c r="G23" i="13"/>
  <c r="G22" i="13"/>
  <c r="G21" i="13"/>
  <c r="G20" i="13"/>
  <c r="B33" i="13" s="1"/>
  <c r="F33" i="13" l="1"/>
  <c r="F39" i="13" s="1"/>
  <c r="F45" i="13" s="1"/>
  <c r="E33" i="13"/>
  <c r="E39" i="13" s="1"/>
  <c r="E45" i="13" s="1"/>
  <c r="D33" i="13"/>
  <c r="D39" i="13" s="1"/>
  <c r="D45" i="13" s="1"/>
  <c r="C33" i="13"/>
  <c r="C39" i="13" s="1"/>
  <c r="C45" i="13" s="1"/>
  <c r="B39" i="13"/>
  <c r="B45" i="13" s="1"/>
  <c r="F34" i="13"/>
  <c r="F40" i="13" s="1"/>
  <c r="F46" i="13" s="1"/>
  <c r="E34" i="13"/>
  <c r="E40" i="13" s="1"/>
  <c r="E46" i="13" s="1"/>
  <c r="D34" i="13"/>
  <c r="D40" i="13" s="1"/>
  <c r="D46" i="13" s="1"/>
  <c r="C34" i="13"/>
  <c r="C40" i="13" s="1"/>
  <c r="C46" i="13" s="1"/>
  <c r="B34" i="13"/>
  <c r="B40" i="13" s="1"/>
  <c r="B46" i="13" s="1"/>
  <c r="F35" i="13"/>
  <c r="F41" i="13" s="1"/>
  <c r="F47" i="13" s="1"/>
  <c r="E35" i="13"/>
  <c r="E41" i="13" s="1"/>
  <c r="E47" i="13" s="1"/>
  <c r="D35" i="13"/>
  <c r="D41" i="13" s="1"/>
  <c r="D47" i="13" s="1"/>
  <c r="C35" i="13"/>
  <c r="C41" i="13" s="1"/>
  <c r="C47" i="13" s="1"/>
  <c r="B35" i="13"/>
  <c r="B41" i="13" s="1"/>
  <c r="B47" i="13" s="1"/>
  <c r="F36" i="13"/>
  <c r="F42" i="13" s="1"/>
  <c r="F48" i="13" s="1"/>
  <c r="E36" i="13"/>
  <c r="E42" i="13" s="1"/>
  <c r="E48" i="13" s="1"/>
  <c r="D36" i="13"/>
  <c r="D42" i="13" s="1"/>
  <c r="D48" i="13" s="1"/>
  <c r="C36" i="13"/>
  <c r="C42" i="13" s="1"/>
  <c r="C48" i="13" s="1"/>
  <c r="B36" i="13"/>
  <c r="B42" i="13" s="1"/>
  <c r="B48" i="13" s="1"/>
  <c r="B64" i="15"/>
  <c r="C52" i="15"/>
  <c r="B52" i="15"/>
  <c r="B46" i="15"/>
  <c r="B58" i="15" s="1"/>
  <c r="F97" i="15"/>
  <c r="B95" i="15"/>
  <c r="B94" i="15"/>
  <c r="B88" i="15"/>
  <c r="B100" i="15" s="1"/>
  <c r="B70" i="15"/>
  <c r="C88" i="15"/>
  <c r="D88" i="15"/>
  <c r="E88" i="15"/>
  <c r="F88" i="15"/>
  <c r="B89" i="15"/>
  <c r="B101" i="15" s="1"/>
  <c r="C89" i="15"/>
  <c r="D89" i="15"/>
  <c r="E89" i="15"/>
  <c r="F89" i="15"/>
  <c r="B90" i="15"/>
  <c r="C90" i="15"/>
  <c r="D90" i="15"/>
  <c r="E90" i="15"/>
  <c r="F90" i="15"/>
  <c r="B91" i="15"/>
  <c r="C91" i="15"/>
  <c r="D91" i="15"/>
  <c r="E91" i="15"/>
  <c r="F91" i="15"/>
  <c r="F103" i="15" s="1"/>
  <c r="C94" i="15"/>
  <c r="D94" i="15"/>
  <c r="E94" i="15"/>
  <c r="F94" i="15"/>
  <c r="C95" i="15"/>
  <c r="D95" i="15"/>
  <c r="E95" i="15"/>
  <c r="F95" i="15"/>
  <c r="B96" i="15"/>
  <c r="C96" i="15"/>
  <c r="D96" i="15"/>
  <c r="E96" i="15"/>
  <c r="F96" i="15"/>
  <c r="B97" i="15"/>
  <c r="C97" i="15"/>
  <c r="D97" i="15"/>
  <c r="E97" i="15"/>
  <c r="F70" i="15"/>
  <c r="E70" i="15"/>
  <c r="D70" i="15"/>
  <c r="C70" i="15"/>
  <c r="F71" i="15"/>
  <c r="E71" i="15"/>
  <c r="D71" i="15"/>
  <c r="C71" i="15"/>
  <c r="B71" i="15"/>
  <c r="F72" i="15"/>
  <c r="E72" i="15"/>
  <c r="D72" i="15"/>
  <c r="C72" i="15"/>
  <c r="B72" i="15"/>
  <c r="F54" i="15"/>
  <c r="E54" i="15"/>
  <c r="D54" i="15"/>
  <c r="C54" i="15"/>
  <c r="B54" i="15"/>
  <c r="F48" i="15"/>
  <c r="F60" i="15" s="1"/>
  <c r="E48" i="15"/>
  <c r="E60" i="15" s="1"/>
  <c r="D48" i="15"/>
  <c r="D60" i="15" s="1"/>
  <c r="C48" i="15"/>
  <c r="C60" i="15" s="1"/>
  <c r="B48" i="15"/>
  <c r="B60" i="15" s="1"/>
  <c r="F73" i="15"/>
  <c r="E73" i="15"/>
  <c r="D73" i="15"/>
  <c r="C73" i="15"/>
  <c r="B73" i="15"/>
  <c r="F55" i="15"/>
  <c r="E55" i="15"/>
  <c r="D55" i="15"/>
  <c r="C55" i="15"/>
  <c r="B55" i="15"/>
  <c r="F49" i="15"/>
  <c r="F61" i="15" s="1"/>
  <c r="E49" i="15"/>
  <c r="E61" i="15" s="1"/>
  <c r="D49" i="15"/>
  <c r="D61" i="15" s="1"/>
  <c r="C49" i="15"/>
  <c r="C61" i="15" s="1"/>
  <c r="B49" i="15"/>
  <c r="B61" i="15" s="1"/>
  <c r="B67" i="15"/>
  <c r="B79" i="15" s="1"/>
  <c r="B66" i="15"/>
  <c r="B78" i="15" s="1"/>
  <c r="B65" i="15"/>
  <c r="B77" i="15" s="1"/>
  <c r="C67" i="15"/>
  <c r="C79" i="15" s="1"/>
  <c r="C66" i="15"/>
  <c r="C78" i="15" s="1"/>
  <c r="C65" i="15"/>
  <c r="C77" i="15" s="1"/>
  <c r="C64" i="15"/>
  <c r="C76" i="15" s="1"/>
  <c r="D67" i="15"/>
  <c r="D79" i="15" s="1"/>
  <c r="D66" i="15"/>
  <c r="D78" i="15" s="1"/>
  <c r="D65" i="15"/>
  <c r="D77" i="15" s="1"/>
  <c r="D64" i="15"/>
  <c r="D76" i="15" s="1"/>
  <c r="E67" i="15"/>
  <c r="E79" i="15" s="1"/>
  <c r="E66" i="15"/>
  <c r="E78" i="15" s="1"/>
  <c r="E65" i="15"/>
  <c r="E77" i="15" s="1"/>
  <c r="E64" i="15"/>
  <c r="E76" i="15" s="1"/>
  <c r="F67" i="15"/>
  <c r="F79" i="15" s="1"/>
  <c r="F66" i="15"/>
  <c r="F78" i="15" s="1"/>
  <c r="F65" i="15"/>
  <c r="F77" i="15" s="1"/>
  <c r="F64" i="15"/>
  <c r="F76" i="15" s="1"/>
  <c r="C46" i="15"/>
  <c r="C58" i="15" s="1"/>
  <c r="D46" i="15"/>
  <c r="E46" i="15"/>
  <c r="F46" i="15"/>
  <c r="D52" i="15"/>
  <c r="E52" i="15"/>
  <c r="F52" i="15"/>
  <c r="B47" i="15"/>
  <c r="C47" i="15"/>
  <c r="D47" i="15"/>
  <c r="E47" i="15"/>
  <c r="F47" i="15"/>
  <c r="B53" i="15"/>
  <c r="C53" i="15"/>
  <c r="D53" i="15"/>
  <c r="E53" i="15"/>
  <c r="F53" i="15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9" i="13"/>
  <c r="C9" i="13"/>
  <c r="D9" i="13"/>
  <c r="B10" i="13"/>
  <c r="C10" i="13"/>
  <c r="D10" i="13"/>
  <c r="B13" i="13"/>
  <c r="C13" i="13"/>
  <c r="B14" i="13"/>
  <c r="C14" i="13"/>
  <c r="F60" i="13" l="1"/>
  <c r="F54" i="13"/>
  <c r="E60" i="13"/>
  <c r="E54" i="13"/>
  <c r="D60" i="13"/>
  <c r="D54" i="13"/>
  <c r="C60" i="13"/>
  <c r="C54" i="13"/>
  <c r="B60" i="13"/>
  <c r="B54" i="13"/>
  <c r="F59" i="13"/>
  <c r="F53" i="13"/>
  <c r="E59" i="13"/>
  <c r="E53" i="13"/>
  <c r="D59" i="13"/>
  <c r="D53" i="13"/>
  <c r="C59" i="13"/>
  <c r="C53" i="13"/>
  <c r="B59" i="13"/>
  <c r="B53" i="13"/>
  <c r="F58" i="13"/>
  <c r="F52" i="13"/>
  <c r="E58" i="13"/>
  <c r="E52" i="13"/>
  <c r="D58" i="13"/>
  <c r="D52" i="13"/>
  <c r="C58" i="13"/>
  <c r="C52" i="13"/>
  <c r="B58" i="13"/>
  <c r="B52" i="13"/>
  <c r="F57" i="13"/>
  <c r="F51" i="13"/>
  <c r="E57" i="13"/>
  <c r="E51" i="13"/>
  <c r="D57" i="13"/>
  <c r="D51" i="13"/>
  <c r="C57" i="13"/>
  <c r="C51" i="13"/>
  <c r="B57" i="13"/>
  <c r="B51" i="13"/>
  <c r="B82" i="15"/>
  <c r="F59" i="15"/>
  <c r="E59" i="15"/>
  <c r="D59" i="15"/>
  <c r="C59" i="15"/>
  <c r="B59" i="15"/>
  <c r="F58" i="15"/>
  <c r="E58" i="15"/>
  <c r="D58" i="15"/>
  <c r="E103" i="15"/>
  <c r="D103" i="15"/>
  <c r="C103" i="15"/>
  <c r="B103" i="15"/>
  <c r="F102" i="15"/>
  <c r="E102" i="15"/>
  <c r="D102" i="15"/>
  <c r="C102" i="15"/>
  <c r="B102" i="15"/>
  <c r="F101" i="15"/>
  <c r="E101" i="15"/>
  <c r="D101" i="15"/>
  <c r="C101" i="15"/>
  <c r="F100" i="15"/>
  <c r="E100" i="15"/>
  <c r="D100" i="15"/>
  <c r="C100" i="15"/>
  <c r="B76" i="15"/>
  <c r="B85" i="15"/>
  <c r="C85" i="15"/>
  <c r="D85" i="15"/>
  <c r="E85" i="15"/>
  <c r="F85" i="15"/>
  <c r="B84" i="15"/>
  <c r="C84" i="15"/>
  <c r="D84" i="15"/>
  <c r="E84" i="15"/>
  <c r="F84" i="15"/>
  <c r="B83" i="15"/>
  <c r="C83" i="15"/>
  <c r="D83" i="15"/>
  <c r="E83" i="15"/>
  <c r="F83" i="15"/>
  <c r="C82" i="15"/>
  <c r="D82" i="15"/>
  <c r="E82" i="15"/>
  <c r="F82" i="15"/>
  <c r="F66" i="13"/>
  <c r="E66" i="13"/>
  <c r="D66" i="13"/>
  <c r="C66" i="13"/>
  <c r="B66" i="13"/>
  <c r="F65" i="13"/>
  <c r="E65" i="13"/>
  <c r="D65" i="13"/>
  <c r="C65" i="13"/>
  <c r="B65" i="13"/>
  <c r="F64" i="13"/>
  <c r="E64" i="13"/>
  <c r="D64" i="13"/>
  <c r="C64" i="13"/>
  <c r="B64" i="13"/>
  <c r="F63" i="13"/>
  <c r="E63" i="13"/>
  <c r="D63" i="13"/>
  <c r="C63" i="13"/>
  <c r="B63" i="13"/>
  <c r="H9" i="12"/>
  <c r="G8" i="12"/>
  <c r="G4" i="12"/>
  <c r="F9" i="12" l="1"/>
  <c r="E9" i="12"/>
  <c r="D9" i="12"/>
  <c r="C9" i="12"/>
  <c r="B9" i="12"/>
  <c r="H5" i="12"/>
  <c r="H6" i="12"/>
  <c r="H7" i="12"/>
  <c r="H4" i="12"/>
  <c r="J11" i="12"/>
  <c r="F11" i="12"/>
  <c r="E11" i="12"/>
  <c r="D11" i="12"/>
  <c r="C11" i="12"/>
  <c r="B11" i="12"/>
  <c r="I10" i="12"/>
  <c r="F10" i="12"/>
  <c r="E10" i="12"/>
  <c r="D10" i="12"/>
  <c r="C10" i="12"/>
  <c r="B10" i="12"/>
  <c r="F8" i="12"/>
  <c r="E8" i="12"/>
  <c r="D8" i="12"/>
  <c r="C8" i="12"/>
  <c r="B8" i="12"/>
  <c r="J7" i="12"/>
  <c r="G7" i="12"/>
  <c r="J6" i="12"/>
  <c r="K6" i="12"/>
  <c r="L6" i="12" s="1"/>
  <c r="G6" i="12"/>
  <c r="J5" i="12"/>
  <c r="K5" i="12"/>
  <c r="L5" i="12" s="1"/>
  <c r="G5" i="12"/>
  <c r="J4" i="12"/>
  <c r="I4" i="12"/>
  <c r="K4" i="12" l="1"/>
  <c r="L4" i="12" s="1"/>
  <c r="K7" i="12"/>
  <c r="L7" i="12" s="1"/>
  <c r="B12" i="12"/>
  <c r="B13" i="12" s="1"/>
  <c r="C12" i="12"/>
  <c r="C13" i="12" s="1"/>
  <c r="D12" i="12"/>
  <c r="D13" i="12" s="1"/>
  <c r="E12" i="12"/>
  <c r="E13" i="12" s="1"/>
  <c r="F12" i="12"/>
  <c r="F13" i="12" s="1"/>
  <c r="K12" i="12"/>
  <c r="L13" i="12" s="1"/>
  <c r="F64" i="8" l="1"/>
  <c r="E64" i="8"/>
  <c r="D64" i="8"/>
  <c r="C64" i="8"/>
  <c r="B64" i="8"/>
  <c r="F63" i="8"/>
  <c r="E63" i="8"/>
  <c r="D63" i="8"/>
  <c r="C63" i="8"/>
  <c r="B63" i="8"/>
  <c r="F62" i="8"/>
  <c r="E62" i="8"/>
  <c r="D62" i="8"/>
  <c r="C62" i="8"/>
  <c r="B62" i="8"/>
  <c r="F61" i="8"/>
  <c r="E61" i="8"/>
  <c r="D61" i="8"/>
  <c r="C61" i="8"/>
  <c r="B61" i="8"/>
  <c r="F60" i="8"/>
  <c r="E60" i="8"/>
  <c r="D60" i="8"/>
  <c r="C60" i="8"/>
  <c r="B60" i="8"/>
  <c r="F59" i="8"/>
  <c r="E59" i="8"/>
  <c r="D59" i="8"/>
  <c r="C59" i="8"/>
  <c r="B59" i="8"/>
  <c r="F58" i="8"/>
  <c r="E58" i="8"/>
  <c r="D58" i="8"/>
  <c r="C58" i="8"/>
  <c r="B58" i="8"/>
  <c r="F57" i="8"/>
  <c r="E57" i="8"/>
  <c r="D57" i="8"/>
  <c r="C57" i="8"/>
  <c r="B57" i="8"/>
  <c r="F56" i="8"/>
  <c r="E56" i="8"/>
  <c r="D56" i="8"/>
  <c r="C56" i="8"/>
  <c r="B56" i="8"/>
  <c r="F55" i="8"/>
  <c r="E55" i="8"/>
  <c r="D55" i="8"/>
  <c r="C55" i="8"/>
  <c r="B55" i="8"/>
  <c r="F54" i="8"/>
  <c r="E54" i="8"/>
  <c r="D54" i="8"/>
  <c r="C54" i="8"/>
  <c r="B54" i="8"/>
  <c r="F53" i="8"/>
  <c r="E53" i="8"/>
  <c r="D53" i="8"/>
  <c r="C53" i="8"/>
  <c r="B53" i="8"/>
  <c r="F52" i="8"/>
  <c r="E52" i="8"/>
  <c r="D52" i="8"/>
  <c r="C52" i="8"/>
  <c r="B52" i="8"/>
  <c r="F51" i="8"/>
  <c r="E51" i="8"/>
  <c r="D51" i="8"/>
  <c r="C51" i="8"/>
  <c r="B51" i="8"/>
  <c r="F50" i="8"/>
  <c r="E50" i="8"/>
  <c r="D50" i="8"/>
  <c r="C50" i="8"/>
  <c r="B50" i="8"/>
  <c r="B68" i="8"/>
  <c r="D67" i="8"/>
  <c r="A42" i="8" l="1"/>
  <c r="A41" i="8"/>
  <c r="C40" i="8"/>
  <c r="B40" i="8"/>
  <c r="A37" i="8"/>
  <c r="A36" i="8"/>
  <c r="C35" i="8"/>
  <c r="B35" i="8"/>
  <c r="C33" i="8"/>
  <c r="B33" i="8"/>
  <c r="C28" i="8"/>
  <c r="A18" i="8"/>
  <c r="A17" i="8"/>
  <c r="A13" i="8"/>
  <c r="A12" i="8"/>
  <c r="C11" i="8"/>
  <c r="B11" i="8"/>
  <c r="C9" i="8"/>
  <c r="B9" i="8"/>
  <c r="D9" i="8" s="1"/>
  <c r="D8" i="8"/>
  <c r="D7" i="8"/>
  <c r="C4" i="8"/>
  <c r="B57" i="7"/>
  <c r="B56" i="7"/>
  <c r="B55" i="7"/>
  <c r="B50" i="7"/>
  <c r="L49" i="7"/>
  <c r="K49" i="7"/>
  <c r="J49" i="7"/>
  <c r="I49" i="7"/>
  <c r="H49" i="7"/>
  <c r="G49" i="7"/>
  <c r="F49" i="7"/>
  <c r="E49" i="7"/>
  <c r="D49" i="7"/>
  <c r="C49" i="7"/>
  <c r="L48" i="7"/>
  <c r="K48" i="7"/>
  <c r="J48" i="7"/>
  <c r="I48" i="7"/>
  <c r="H48" i="7"/>
  <c r="G48" i="7"/>
  <c r="F48" i="7"/>
  <c r="E48" i="7"/>
  <c r="D48" i="7"/>
  <c r="C48" i="7"/>
  <c r="L47" i="7"/>
  <c r="L91" i="7" s="1"/>
  <c r="K47" i="7"/>
  <c r="J47" i="7"/>
  <c r="I47" i="7"/>
  <c r="H47" i="7"/>
  <c r="G47" i="7"/>
  <c r="F47" i="7"/>
  <c r="E47" i="7"/>
  <c r="D47" i="7"/>
  <c r="C47" i="7"/>
  <c r="N41" i="7"/>
  <c r="N40" i="7"/>
  <c r="N39" i="7"/>
  <c r="J38" i="7"/>
  <c r="I38" i="7"/>
  <c r="N38" i="7"/>
  <c r="N36" i="7"/>
  <c r="J36" i="7"/>
  <c r="I36" i="7"/>
  <c r="N35" i="7"/>
  <c r="N34" i="7"/>
  <c r="N33" i="7"/>
  <c r="F16" i="7"/>
  <c r="E16" i="7"/>
  <c r="K16" i="7" s="1"/>
  <c r="F15" i="7"/>
  <c r="E15" i="7"/>
  <c r="K15" i="7" s="1"/>
  <c r="F14" i="7"/>
  <c r="E14" i="7"/>
  <c r="K14" i="7" s="1"/>
  <c r="F13" i="7"/>
  <c r="E13" i="7"/>
  <c r="K13" i="7" s="1"/>
  <c r="F12" i="7"/>
  <c r="E12" i="7"/>
  <c r="K12" i="7" s="1"/>
  <c r="F11" i="7"/>
  <c r="E11" i="7"/>
  <c r="K11" i="7" s="1"/>
  <c r="F10" i="7"/>
  <c r="E10" i="7"/>
  <c r="K10" i="7" s="1"/>
  <c r="F9" i="7"/>
  <c r="E9" i="7"/>
  <c r="K9" i="7" s="1"/>
  <c r="F8" i="7"/>
  <c r="E8" i="7"/>
  <c r="K8" i="7" s="1"/>
  <c r="F7" i="7"/>
  <c r="E7" i="7"/>
  <c r="K7" i="7" s="1"/>
  <c r="F6" i="7"/>
  <c r="E6" i="7"/>
  <c r="K6" i="7" s="1"/>
  <c r="F5" i="7"/>
  <c r="E5" i="7"/>
  <c r="K5" i="7" s="1"/>
  <c r="F4" i="7"/>
  <c r="E4" i="7"/>
  <c r="K4" i="7" s="1"/>
  <c r="F3" i="7"/>
  <c r="E3" i="7"/>
  <c r="K3" i="7" s="1"/>
  <c r="F2" i="7"/>
  <c r="E2" i="7"/>
  <c r="K2" i="7" s="1"/>
  <c r="K17" i="7" s="1"/>
  <c r="J23" i="7" s="1"/>
  <c r="N1" i="7"/>
  <c r="B22" i="5"/>
  <c r="C21" i="5"/>
  <c r="B21" i="5"/>
  <c r="C20" i="5"/>
  <c r="B20" i="5"/>
  <c r="C19" i="5"/>
  <c r="B19" i="5"/>
  <c r="E18" i="5"/>
  <c r="D18" i="5"/>
  <c r="F18" i="5" s="1"/>
  <c r="E17" i="5"/>
  <c r="D17" i="5"/>
  <c r="F17" i="5" s="1"/>
  <c r="E16" i="5"/>
  <c r="D16" i="5"/>
  <c r="F16" i="5" s="1"/>
  <c r="E15" i="5"/>
  <c r="D15" i="5"/>
  <c r="F15" i="5" s="1"/>
  <c r="E14" i="5"/>
  <c r="E21" i="5" s="1"/>
  <c r="D14" i="5"/>
  <c r="D21" i="5" s="1"/>
  <c r="B10" i="5"/>
  <c r="C9" i="5"/>
  <c r="B9" i="5"/>
  <c r="C8" i="5"/>
  <c r="B8" i="5"/>
  <c r="D2" i="5" s="1"/>
  <c r="C7" i="5"/>
  <c r="B7" i="5"/>
  <c r="E6" i="5"/>
  <c r="D6" i="5"/>
  <c r="F6" i="5" s="1"/>
  <c r="E5" i="5"/>
  <c r="D5" i="5"/>
  <c r="F5" i="5" s="1"/>
  <c r="E4" i="5"/>
  <c r="D4" i="5"/>
  <c r="F4" i="5" s="1"/>
  <c r="E3" i="5"/>
  <c r="D3" i="5"/>
  <c r="F3" i="5" s="1"/>
  <c r="E2" i="5"/>
  <c r="E9" i="5" s="1"/>
  <c r="D9" i="5"/>
  <c r="D33" i="8" l="1"/>
  <c r="C37" i="8"/>
  <c r="C42" i="8" s="1"/>
  <c r="C36" i="8"/>
  <c r="C12" i="8"/>
  <c r="B12" i="8"/>
  <c r="C13" i="8"/>
  <c r="B13" i="8"/>
  <c r="B22" i="8"/>
  <c r="C52" i="7"/>
  <c r="C53" i="7"/>
  <c r="D52" i="7"/>
  <c r="D53" i="7"/>
  <c r="E52" i="7"/>
  <c r="E53" i="7"/>
  <c r="F52" i="7"/>
  <c r="F53" i="7"/>
  <c r="G52" i="7"/>
  <c r="G53" i="7"/>
  <c r="H52" i="7"/>
  <c r="H53" i="7"/>
  <c r="I52" i="7"/>
  <c r="I53" i="7"/>
  <c r="J52" i="7"/>
  <c r="J53" i="7"/>
  <c r="K52" i="7"/>
  <c r="K53" i="7"/>
  <c r="L52" i="7"/>
  <c r="L53" i="7"/>
  <c r="L78" i="7"/>
  <c r="L77" i="7"/>
  <c r="L73" i="7"/>
  <c r="C68" i="7"/>
  <c r="C63" i="7"/>
  <c r="D68" i="7"/>
  <c r="D63" i="7"/>
  <c r="E68" i="7"/>
  <c r="E63" i="7"/>
  <c r="F68" i="7"/>
  <c r="F63" i="7"/>
  <c r="G68" i="7"/>
  <c r="G63" i="7"/>
  <c r="H68" i="7"/>
  <c r="H63" i="7"/>
  <c r="I68" i="7"/>
  <c r="I63" i="7"/>
  <c r="J68" i="7"/>
  <c r="J63" i="7"/>
  <c r="K68" i="7"/>
  <c r="K63" i="7"/>
  <c r="L68" i="7"/>
  <c r="L63" i="7"/>
  <c r="L64" i="7"/>
  <c r="C90" i="7"/>
  <c r="C89" i="7"/>
  <c r="D90" i="7"/>
  <c r="D89" i="7"/>
  <c r="E90" i="7"/>
  <c r="E89" i="7"/>
  <c r="F90" i="7"/>
  <c r="F89" i="7"/>
  <c r="G90" i="7"/>
  <c r="G89" i="7"/>
  <c r="H90" i="7"/>
  <c r="H89" i="7"/>
  <c r="I90" i="7"/>
  <c r="I89" i="7"/>
  <c r="J90" i="7"/>
  <c r="J89" i="7"/>
  <c r="K90" i="7"/>
  <c r="K89" i="7"/>
  <c r="L90" i="7"/>
  <c r="L89" i="7"/>
  <c r="C91" i="7"/>
  <c r="C84" i="7"/>
  <c r="C77" i="7"/>
  <c r="D91" i="7"/>
  <c r="D84" i="7"/>
  <c r="D77" i="7"/>
  <c r="E91" i="7"/>
  <c r="E84" i="7"/>
  <c r="E77" i="7"/>
  <c r="F91" i="7"/>
  <c r="F84" i="7"/>
  <c r="F77" i="7"/>
  <c r="G91" i="7"/>
  <c r="G84" i="7"/>
  <c r="G77" i="7"/>
  <c r="H91" i="7"/>
  <c r="H84" i="7"/>
  <c r="H77" i="7"/>
  <c r="I91" i="7"/>
  <c r="I84" i="7"/>
  <c r="I77" i="7"/>
  <c r="J91" i="7"/>
  <c r="J84" i="7"/>
  <c r="J77" i="7"/>
  <c r="K91" i="7"/>
  <c r="K84" i="7"/>
  <c r="K77" i="7"/>
  <c r="L84" i="7"/>
  <c r="C81" i="7"/>
  <c r="C74" i="7"/>
  <c r="D81" i="7"/>
  <c r="D74" i="7"/>
  <c r="E81" i="7"/>
  <c r="E74" i="7"/>
  <c r="F81" i="7"/>
  <c r="F74" i="7"/>
  <c r="G81" i="7"/>
  <c r="G74" i="7"/>
  <c r="H81" i="7"/>
  <c r="H74" i="7"/>
  <c r="I81" i="7"/>
  <c r="I74" i="7"/>
  <c r="J81" i="7"/>
  <c r="J74" i="7"/>
  <c r="K81" i="7"/>
  <c r="K74" i="7"/>
  <c r="L81" i="7"/>
  <c r="L74" i="7"/>
  <c r="C75" i="7"/>
  <c r="C82" i="7"/>
  <c r="C88" i="7"/>
  <c r="D75" i="7"/>
  <c r="D82" i="7"/>
  <c r="D88" i="7"/>
  <c r="E75" i="7"/>
  <c r="E82" i="7"/>
  <c r="E88" i="7"/>
  <c r="F75" i="7"/>
  <c r="F82" i="7"/>
  <c r="F88" i="7"/>
  <c r="G75" i="7"/>
  <c r="G82" i="7"/>
  <c r="G88" i="7"/>
  <c r="H75" i="7"/>
  <c r="H82" i="7"/>
  <c r="H88" i="7"/>
  <c r="I75" i="7"/>
  <c r="I82" i="7"/>
  <c r="I88" i="7"/>
  <c r="J75" i="7"/>
  <c r="J82" i="7"/>
  <c r="J88" i="7"/>
  <c r="K75" i="7"/>
  <c r="K82" i="7"/>
  <c r="K88" i="7"/>
  <c r="L75" i="7"/>
  <c r="L82" i="7"/>
  <c r="L88" i="7"/>
  <c r="C66" i="7"/>
  <c r="C65" i="7"/>
  <c r="D66" i="7"/>
  <c r="D65" i="7"/>
  <c r="E66" i="7"/>
  <c r="E65" i="7"/>
  <c r="F66" i="7"/>
  <c r="F65" i="7"/>
  <c r="G66" i="7"/>
  <c r="G65" i="7"/>
  <c r="H66" i="7"/>
  <c r="H65" i="7"/>
  <c r="I66" i="7"/>
  <c r="I65" i="7"/>
  <c r="J66" i="7"/>
  <c r="J65" i="7"/>
  <c r="K66" i="7"/>
  <c r="K65" i="7"/>
  <c r="L66" i="7"/>
  <c r="L65" i="7"/>
  <c r="C64" i="7"/>
  <c r="C69" i="7"/>
  <c r="D64" i="7"/>
  <c r="D69" i="7"/>
  <c r="E64" i="7"/>
  <c r="E69" i="7"/>
  <c r="F64" i="7"/>
  <c r="F69" i="7"/>
  <c r="G64" i="7"/>
  <c r="G69" i="7"/>
  <c r="H64" i="7"/>
  <c r="H69" i="7"/>
  <c r="I64" i="7"/>
  <c r="I69" i="7"/>
  <c r="J64" i="7"/>
  <c r="J69" i="7"/>
  <c r="K64" i="7"/>
  <c r="K69" i="7"/>
  <c r="L69" i="7"/>
  <c r="C62" i="7"/>
  <c r="C67" i="7"/>
  <c r="D62" i="7"/>
  <c r="D67" i="7"/>
  <c r="E62" i="7"/>
  <c r="E67" i="7"/>
  <c r="F62" i="7"/>
  <c r="F67" i="7"/>
  <c r="G62" i="7"/>
  <c r="G67" i="7"/>
  <c r="H62" i="7"/>
  <c r="H67" i="7"/>
  <c r="I62" i="7"/>
  <c r="I67" i="7"/>
  <c r="J62" i="7"/>
  <c r="J67" i="7"/>
  <c r="K62" i="7"/>
  <c r="K67" i="7"/>
  <c r="L62" i="7"/>
  <c r="L67" i="7"/>
  <c r="C85" i="7"/>
  <c r="C76" i="7"/>
  <c r="D85" i="7"/>
  <c r="D76" i="7"/>
  <c r="E85" i="7"/>
  <c r="E76" i="7"/>
  <c r="F85" i="7"/>
  <c r="F76" i="7"/>
  <c r="G85" i="7"/>
  <c r="G76" i="7"/>
  <c r="H85" i="7"/>
  <c r="H76" i="7"/>
  <c r="I85" i="7"/>
  <c r="I76" i="7"/>
  <c r="J85" i="7"/>
  <c r="J76" i="7"/>
  <c r="K85" i="7"/>
  <c r="K76" i="7"/>
  <c r="L85" i="7"/>
  <c r="L76" i="7"/>
  <c r="C73" i="7"/>
  <c r="D73" i="7"/>
  <c r="E73" i="7"/>
  <c r="F73" i="7"/>
  <c r="G73" i="7"/>
  <c r="H73" i="7"/>
  <c r="I73" i="7"/>
  <c r="J73" i="7"/>
  <c r="K73" i="7"/>
  <c r="C78" i="7"/>
  <c r="C83" i="7"/>
  <c r="D78" i="7"/>
  <c r="D83" i="7"/>
  <c r="E78" i="7"/>
  <c r="E83" i="7"/>
  <c r="F78" i="7"/>
  <c r="F83" i="7"/>
  <c r="G78" i="7"/>
  <c r="G83" i="7"/>
  <c r="H78" i="7"/>
  <c r="H83" i="7"/>
  <c r="I78" i="7"/>
  <c r="I83" i="7"/>
  <c r="J78" i="7"/>
  <c r="J83" i="7"/>
  <c r="K78" i="7"/>
  <c r="K83" i="7"/>
  <c r="L83" i="7"/>
  <c r="C80" i="7"/>
  <c r="D80" i="7"/>
  <c r="E80" i="7"/>
  <c r="F80" i="7"/>
  <c r="G80" i="7"/>
  <c r="H80" i="7"/>
  <c r="I80" i="7"/>
  <c r="J80" i="7"/>
  <c r="K80" i="7"/>
  <c r="L80" i="7"/>
  <c r="C22" i="8"/>
  <c r="B46" i="8"/>
  <c r="C46" i="8" s="1"/>
  <c r="C58" i="7"/>
  <c r="D58" i="7"/>
  <c r="E58" i="7"/>
  <c r="F58" i="7"/>
  <c r="G58" i="7"/>
  <c r="H58" i="7"/>
  <c r="I58" i="7"/>
  <c r="J58" i="7"/>
  <c r="K58" i="7"/>
  <c r="L58" i="7"/>
  <c r="C17" i="8"/>
  <c r="C41" i="8"/>
  <c r="H2" i="7"/>
  <c r="I2" i="7"/>
  <c r="J2" i="7"/>
  <c r="H3" i="7"/>
  <c r="I3" i="7"/>
  <c r="J3" i="7"/>
  <c r="H4" i="7"/>
  <c r="I4" i="7"/>
  <c r="J4" i="7"/>
  <c r="H5" i="7"/>
  <c r="I5" i="7"/>
  <c r="J5" i="7"/>
  <c r="H6" i="7"/>
  <c r="I6" i="7"/>
  <c r="J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C57" i="7"/>
  <c r="C51" i="7"/>
  <c r="D57" i="7"/>
  <c r="D51" i="7"/>
  <c r="E57" i="7"/>
  <c r="E51" i="7"/>
  <c r="F57" i="7"/>
  <c r="F51" i="7"/>
  <c r="G57" i="7"/>
  <c r="G51" i="7"/>
  <c r="H57" i="7"/>
  <c r="H51" i="7"/>
  <c r="I57" i="7"/>
  <c r="I51" i="7"/>
  <c r="J57" i="7"/>
  <c r="J51" i="7"/>
  <c r="K57" i="7"/>
  <c r="K51" i="7"/>
  <c r="L57" i="7"/>
  <c r="L51" i="7"/>
  <c r="C56" i="7"/>
  <c r="C55" i="7"/>
  <c r="C54" i="7"/>
  <c r="D56" i="7"/>
  <c r="D55" i="7"/>
  <c r="D54" i="7"/>
  <c r="E56" i="7"/>
  <c r="E55" i="7"/>
  <c r="E54" i="7"/>
  <c r="F56" i="7"/>
  <c r="F55" i="7"/>
  <c r="F54" i="7"/>
  <c r="G56" i="7"/>
  <c r="G55" i="7"/>
  <c r="G54" i="7"/>
  <c r="H56" i="7"/>
  <c r="H55" i="7"/>
  <c r="H54" i="7"/>
  <c r="H50" i="7"/>
  <c r="I56" i="7"/>
  <c r="I55" i="7"/>
  <c r="I54" i="7"/>
  <c r="I50" i="7"/>
  <c r="J56" i="7"/>
  <c r="J55" i="7"/>
  <c r="J54" i="7"/>
  <c r="J50" i="7"/>
  <c r="K56" i="7"/>
  <c r="K55" i="7"/>
  <c r="K54" i="7"/>
  <c r="K50" i="7"/>
  <c r="L56" i="7"/>
  <c r="L55" i="7"/>
  <c r="L54" i="7"/>
  <c r="L50" i="7"/>
  <c r="C50" i="7"/>
  <c r="D50" i="7"/>
  <c r="E50" i="7"/>
  <c r="F50" i="7"/>
  <c r="G50" i="7"/>
  <c r="F2" i="5"/>
  <c r="D7" i="5"/>
  <c r="E7" i="5"/>
  <c r="D8" i="5"/>
  <c r="E8" i="5"/>
  <c r="F14" i="5"/>
  <c r="D19" i="5"/>
  <c r="E19" i="5"/>
  <c r="D20" i="5"/>
  <c r="E20" i="5"/>
  <c r="B37" i="8" l="1"/>
  <c r="B36" i="8"/>
  <c r="C18" i="8"/>
  <c r="D13" i="8"/>
  <c r="C14" i="8"/>
  <c r="D14" i="8" s="1"/>
  <c r="D12" i="8"/>
  <c r="B42" i="8"/>
  <c r="B44" i="8"/>
  <c r="B41" i="8"/>
  <c r="B45" i="8" s="1"/>
  <c r="C45" i="8" s="1"/>
  <c r="B18" i="8"/>
  <c r="B20" i="8"/>
  <c r="B17" i="8"/>
  <c r="J17" i="7"/>
  <c r="I23" i="7" s="1"/>
  <c r="I17" i="7"/>
  <c r="J21" i="7" s="1"/>
  <c r="H17" i="7"/>
  <c r="N23" i="7" s="1"/>
  <c r="F20" i="5"/>
  <c r="F19" i="5"/>
  <c r="F8" i="5"/>
  <c r="F7" i="5"/>
  <c r="B21" i="8" l="1"/>
  <c r="C21" i="8" s="1"/>
  <c r="N28" i="7"/>
  <c r="N27" i="7"/>
  <c r="N26" i="7"/>
  <c r="I21" i="7"/>
  <c r="N25" i="7"/>
  <c r="N24" i="7"/>
  <c r="N22" i="7"/>
  <c r="N21" i="7"/>
  <c r="N20" i="7"/>
  <c r="N19" i="7"/>
</calcChain>
</file>

<file path=xl/sharedStrings.xml><?xml version="1.0" encoding="utf-8"?>
<sst xmlns="http://schemas.openxmlformats.org/spreadsheetml/2006/main" count="3574" uniqueCount="672">
  <si>
    <t>鍵語</t>
  </si>
  <si>
    <t>1 Madrid</t>
  </si>
  <si>
    <t>2 Sevilla</t>
  </si>
  <si>
    <t>3 México</t>
  </si>
  <si>
    <t>4 Lima</t>
  </si>
  <si>
    <t>a</t>
  </si>
  <si>
    <t>v-1</t>
  </si>
  <si>
    <t>v-2</t>
  </si>
  <si>
    <t>v-1(sm)</t>
    <phoneticPr fontId="4"/>
  </si>
  <si>
    <t>v-2(sm)</t>
    <phoneticPr fontId="4"/>
  </si>
  <si>
    <r>
      <rPr>
        <sz val="11"/>
        <rFont val="ＭＳ ゴシック"/>
        <family val="3"/>
        <charset val="128"/>
      </rPr>
      <t>積和</t>
    </r>
    <rPh sb="0" eb="2">
      <t>セキワ</t>
    </rPh>
    <phoneticPr fontId="4"/>
  </si>
  <si>
    <t>SUM</t>
    <phoneticPr fontId="4"/>
  </si>
  <si>
    <t>MEAN</t>
    <phoneticPr fontId="4"/>
  </si>
  <si>
    <t>SD</t>
    <phoneticPr fontId="4"/>
  </si>
  <si>
    <t>Correl</t>
    <phoneticPr fontId="4"/>
  </si>
  <si>
    <r>
      <rPr>
        <sz val="11"/>
        <rFont val="ＭＳ ゴシック"/>
        <family val="3"/>
        <charset val="128"/>
      </rPr>
      <t>（実験）</t>
    </r>
    <rPh sb="1" eb="3">
      <t>ジッケン</t>
    </rPh>
    <phoneticPr fontId="4"/>
  </si>
  <si>
    <t>sample</t>
    <phoneticPr fontId="4"/>
  </si>
  <si>
    <t>v-1(sm)</t>
    <phoneticPr fontId="4"/>
  </si>
  <si>
    <t>v-2(sm)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</si>
  <si>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</si>
  <si>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</si>
  <si>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</si>
  <si>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</si>
  <si>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</si>
  <si>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SUM</t>
    <phoneticPr fontId="4"/>
  </si>
  <si>
    <t>MEAN</t>
    <phoneticPr fontId="4"/>
  </si>
  <si>
    <t>SD</t>
    <phoneticPr fontId="4"/>
  </si>
  <si>
    <t>Correl</t>
    <phoneticPr fontId="4"/>
  </si>
  <si>
    <t>a++</t>
  </si>
  <si>
    <t>b+-</t>
  </si>
  <si>
    <t>c-+</t>
  </si>
  <si>
    <t>d--</t>
  </si>
  <si>
    <t>Pearson = Phi</t>
    <phoneticPr fontId="4"/>
  </si>
  <si>
    <t>r</t>
    <phoneticPr fontId="4"/>
  </si>
  <si>
    <t>abajo</t>
  </si>
  <si>
    <t>abandonar</t>
  </si>
  <si>
    <t>abandono</t>
  </si>
  <si>
    <t>abarcar</t>
  </si>
  <si>
    <t>abastecimiento</t>
  </si>
  <si>
    <t>abatir</t>
  </si>
  <si>
    <t>abeja</t>
  </si>
  <si>
    <t>abertura</t>
  </si>
  <si>
    <t>abismo</t>
  </si>
  <si>
    <t>abnegación</t>
  </si>
  <si>
    <t>abogado</t>
  </si>
  <si>
    <t>abonar</t>
  </si>
  <si>
    <t>abono</t>
  </si>
  <si>
    <t>abordar</t>
  </si>
  <si>
    <t>aborrecer</t>
  </si>
  <si>
    <t>Co-occurrence</t>
    <phoneticPr fontId="4"/>
  </si>
  <si>
    <t>a</t>
    <phoneticPr fontId="4"/>
  </si>
  <si>
    <t>Simple match</t>
  </si>
  <si>
    <t>(a+d)/(a+b+c+d)</t>
    <phoneticPr fontId="4"/>
  </si>
  <si>
    <t>Russel and Rao</t>
  </si>
  <si>
    <t>a/(a+b+c+d)</t>
    <phoneticPr fontId="4"/>
  </si>
  <si>
    <t>Jaccard</t>
  </si>
  <si>
    <t>a/(a+b+c)</t>
    <phoneticPr fontId="4"/>
  </si>
  <si>
    <t>Yule</t>
  </si>
  <si>
    <t>(ad-bc)/(ad+bc)</t>
    <phoneticPr fontId="4"/>
  </si>
  <si>
    <t>Hamann</t>
  </si>
  <si>
    <t>((a+d)-(b+c))/((a+d)+(b+c))</t>
    <phoneticPr fontId="4"/>
  </si>
  <si>
    <t>Phi</t>
  </si>
  <si>
    <t>(ad-bc)/sqrt((a+b)*(a+c)*(d+b)*(d+c))</t>
    <phoneticPr fontId="4"/>
  </si>
  <si>
    <t>Ochiai</t>
  </si>
  <si>
    <t>a/sqrt((a+b)*(a+c))</t>
    <phoneticPr fontId="4"/>
  </si>
  <si>
    <t>Co-occurrence</t>
    <phoneticPr fontId="4"/>
  </si>
  <si>
    <t>a</t>
    <phoneticPr fontId="4"/>
  </si>
  <si>
    <t>(a+d)/(a+b+c+d)</t>
    <phoneticPr fontId="4"/>
  </si>
  <si>
    <t>a/(a+b+c+d)</t>
    <phoneticPr fontId="4"/>
  </si>
  <si>
    <t>a/(a+b+c)</t>
    <phoneticPr fontId="4"/>
  </si>
  <si>
    <t>(ad-bc)/(ad+bc)</t>
    <phoneticPr fontId="4"/>
  </si>
  <si>
    <t>((a+d)-(b+c))/((a+d)+(b+c))</t>
    <phoneticPr fontId="4"/>
  </si>
  <si>
    <t>(ad-bc)/sqrt((a+b)*(a+c)*(d+b)*(d+c))</t>
    <phoneticPr fontId="4"/>
  </si>
  <si>
    <t>a/sqrt((a+b)*(a+c))</t>
    <phoneticPr fontId="4"/>
  </si>
  <si>
    <t>CHI^2=</t>
    <phoneticPr fontId="4"/>
  </si>
  <si>
    <t>CHI^2=</t>
    <phoneticPr fontId="4"/>
  </si>
  <si>
    <t>X^2</t>
    <phoneticPr fontId="4"/>
  </si>
  <si>
    <t>CHIDIST</t>
    <phoneticPr fontId="4"/>
  </si>
  <si>
    <t>CHIINV</t>
    <phoneticPr fontId="4"/>
  </si>
  <si>
    <r>
      <rPr>
        <sz val="11"/>
        <rFont val="ＭＳ 明朝"/>
        <family val="1"/>
        <charset val="128"/>
      </rPr>
      <t>語</t>
    </r>
  </si>
  <si>
    <r>
      <rPr>
        <sz val="11"/>
        <rFont val="ＭＳ 明朝"/>
        <family val="1"/>
        <charset val="128"/>
      </rPr>
      <t>手紙</t>
    </r>
  </si>
  <si>
    <r>
      <rPr>
        <sz val="11"/>
        <rFont val="ＭＳ 明朝"/>
        <family val="1"/>
        <charset val="128"/>
      </rPr>
      <t>公文書</t>
    </r>
  </si>
  <si>
    <r>
      <rPr>
        <sz val="11"/>
        <rFont val="ＭＳ 明朝"/>
        <family val="1"/>
        <charset val="128"/>
      </rPr>
      <t>演劇</t>
    </r>
  </si>
  <si>
    <r>
      <rPr>
        <sz val="11"/>
        <rFont val="ＭＳ 明朝"/>
        <family val="1"/>
        <charset val="128"/>
      </rPr>
      <t>小説</t>
    </r>
  </si>
  <si>
    <r>
      <rPr>
        <sz val="11"/>
        <rFont val="ＭＳ 明朝"/>
        <family val="1"/>
        <charset val="128"/>
      </rPr>
      <t>随筆</t>
    </r>
  </si>
  <si>
    <r>
      <rPr>
        <sz val="11"/>
        <rFont val="ＭＳ 明朝"/>
        <family val="1"/>
        <charset val="128"/>
      </rPr>
      <t>科学技術</t>
    </r>
  </si>
  <si>
    <r>
      <rPr>
        <sz val="11"/>
        <rFont val="ＭＳ 明朝"/>
        <family val="1"/>
        <charset val="128"/>
      </rPr>
      <t>新聞</t>
    </r>
  </si>
  <si>
    <r>
      <rPr>
        <sz val="11"/>
        <rFont val="ＭＳ 明朝"/>
        <family val="1"/>
        <charset val="128"/>
      </rPr>
      <t>教科書</t>
    </r>
  </si>
  <si>
    <t>abajo_av</t>
  </si>
  <si>
    <t>abandonar_V</t>
  </si>
  <si>
    <t>abandono_N</t>
  </si>
  <si>
    <t>abarcar_V</t>
  </si>
  <si>
    <t>abastecimiento_N</t>
  </si>
  <si>
    <t>abatir_V</t>
  </si>
  <si>
    <t>abeja_N</t>
  </si>
  <si>
    <t>abertura_N</t>
  </si>
  <si>
    <t>abismo_N</t>
  </si>
  <si>
    <t>abnegación_N</t>
  </si>
  <si>
    <t>abogado_N</t>
  </si>
  <si>
    <t>abonar_V</t>
  </si>
  <si>
    <t>abono_N</t>
  </si>
  <si>
    <t>abordar_V</t>
  </si>
  <si>
    <t>aborrecer_V</t>
  </si>
  <si>
    <t>abrazar_V</t>
  </si>
  <si>
    <t>abrazo_N</t>
  </si>
  <si>
    <t>abrigar_V</t>
  </si>
  <si>
    <t>abrigo_N</t>
  </si>
  <si>
    <t>abril_N</t>
  </si>
  <si>
    <t>abrir_V</t>
  </si>
  <si>
    <t>abrumador_A</t>
  </si>
  <si>
    <t>abrumar_V</t>
  </si>
  <si>
    <t>absolutamente_av</t>
  </si>
  <si>
    <t>absoluto_A</t>
  </si>
  <si>
    <t>abstener_V</t>
  </si>
  <si>
    <t>abstracción_N</t>
  </si>
  <si>
    <t>abstracto_A</t>
  </si>
  <si>
    <t>absurdo_A_N</t>
  </si>
  <si>
    <t>abuelo_N</t>
  </si>
  <si>
    <t>abultar_V</t>
  </si>
  <si>
    <t>abundancia_N</t>
  </si>
  <si>
    <t>abundante_A</t>
  </si>
  <si>
    <t>abundar_V</t>
  </si>
  <si>
    <t>aburrir_V</t>
  </si>
  <si>
    <t>abusar_V</t>
  </si>
  <si>
    <t>abuso_N</t>
  </si>
  <si>
    <t>acá_av</t>
  </si>
  <si>
    <t>acabar_V</t>
  </si>
  <si>
    <t>academia_N</t>
  </si>
  <si>
    <t>académico_A_N</t>
  </si>
  <si>
    <t>acarreo_N</t>
  </si>
  <si>
    <t>acaso_av</t>
  </si>
  <si>
    <t>acceder_V</t>
  </si>
  <si>
    <t>acceso_N</t>
  </si>
  <si>
    <t>accidental_A</t>
  </si>
  <si>
    <t>accidente_N</t>
  </si>
  <si>
    <t>acción_N</t>
  </si>
  <si>
    <t>aceite_N</t>
  </si>
  <si>
    <t>acelerar_V</t>
  </si>
  <si>
    <t>acento_N</t>
  </si>
  <si>
    <t>acentuar_V</t>
  </si>
  <si>
    <t>aceptar_V</t>
  </si>
  <si>
    <t>acerca_av</t>
  </si>
  <si>
    <t>acercar_V</t>
  </si>
  <si>
    <t>acero_N</t>
  </si>
  <si>
    <t>acertar_V</t>
  </si>
  <si>
    <t>ácido_N</t>
  </si>
  <si>
    <t>acierto_N</t>
  </si>
  <si>
    <t>aclaración_N</t>
  </si>
  <si>
    <t>aclarar_V</t>
  </si>
  <si>
    <t>acoger_V</t>
  </si>
  <si>
    <t>acogida_N</t>
  </si>
  <si>
    <t>acometer_V</t>
  </si>
  <si>
    <t>acomodar_V</t>
  </si>
  <si>
    <t>acompañante_A_N</t>
  </si>
  <si>
    <t>acompañar_V</t>
  </si>
  <si>
    <t>aconsejar_V</t>
  </si>
  <si>
    <t>acontecer_V</t>
  </si>
  <si>
    <t>acontecimiento_N</t>
  </si>
  <si>
    <t>acordar_V</t>
  </si>
  <si>
    <t>acostar_V</t>
  </si>
  <si>
    <t>acostumbrar_V</t>
  </si>
  <si>
    <t>acrecentar_V</t>
  </si>
  <si>
    <t>acreditar_V</t>
  </si>
  <si>
    <t>acta_N</t>
  </si>
  <si>
    <t>actitud_N</t>
  </si>
  <si>
    <t>actividad_N</t>
  </si>
  <si>
    <t>activo_A</t>
  </si>
  <si>
    <t>acto_N</t>
  </si>
  <si>
    <t>actor_N</t>
  </si>
  <si>
    <t>actriz_N</t>
  </si>
  <si>
    <t>actuación_N</t>
  </si>
  <si>
    <t>actual_A</t>
  </si>
  <si>
    <t>actualidad_N</t>
  </si>
  <si>
    <t>actualmente_av</t>
  </si>
  <si>
    <t>actuar_V</t>
  </si>
  <si>
    <t>acudir_V</t>
  </si>
  <si>
    <t>acuerdo_N</t>
  </si>
  <si>
    <t>acumular_V</t>
  </si>
  <si>
    <t>acusación_N</t>
  </si>
  <si>
    <t>acusar_V</t>
  </si>
  <si>
    <t>achacar_V</t>
  </si>
  <si>
    <t>adaptar_V</t>
  </si>
  <si>
    <t>adecuar_V</t>
  </si>
  <si>
    <t>adelantar_V</t>
  </si>
  <si>
    <t>adelante_av</t>
  </si>
  <si>
    <t>ademán_N</t>
  </si>
  <si>
    <t>además_av</t>
  </si>
  <si>
    <t>adentro_av</t>
  </si>
  <si>
    <t>adherir_V</t>
  </si>
  <si>
    <t>adhesión_N</t>
  </si>
  <si>
    <t>adiós_ij</t>
  </si>
  <si>
    <t>adivinación_N</t>
  </si>
  <si>
    <t>adivinar_V</t>
  </si>
  <si>
    <t>adjetivo_N</t>
  </si>
  <si>
    <t>adjudicación_N</t>
  </si>
  <si>
    <t>adjudicar_V</t>
  </si>
  <si>
    <t>adjunto_A</t>
  </si>
  <si>
    <t>administración_N</t>
  </si>
  <si>
    <t>administrador_N</t>
  </si>
  <si>
    <t>administrar_V</t>
  </si>
  <si>
    <t>administrativo_A</t>
  </si>
  <si>
    <t>admirable_A</t>
  </si>
  <si>
    <t>admirablemente_av</t>
  </si>
  <si>
    <t>admiración_N</t>
  </si>
  <si>
    <t>admirador_N</t>
  </si>
  <si>
    <t>admirar_V</t>
  </si>
  <si>
    <t>w1</t>
  </si>
  <si>
    <t>w2</t>
  </si>
  <si>
    <t>w3</t>
  </si>
  <si>
    <t>w4</t>
  </si>
  <si>
    <t>con</t>
  </si>
  <si>
    <t>de</t>
  </si>
  <si>
    <t>en</t>
  </si>
  <si>
    <t>por</t>
  </si>
  <si>
    <t>対照語彙</t>
    <rPh sb="0" eb="2">
      <t>タイショウ</t>
    </rPh>
    <rPh sb="2" eb="4">
      <t>ゴイ</t>
    </rPh>
    <phoneticPr fontId="2"/>
  </si>
  <si>
    <t>w3</t>
    <phoneticPr fontId="2"/>
  </si>
  <si>
    <t>相対得点</t>
    <rPh sb="0" eb="2">
      <t>ソウタイ</t>
    </rPh>
    <phoneticPr fontId="1"/>
  </si>
  <si>
    <t>加重得点</t>
    <rPh sb="0" eb="2">
      <t>カジュウ</t>
    </rPh>
    <phoneticPr fontId="4"/>
  </si>
  <si>
    <t>卓立得点</t>
    <rPh sb="0" eb="1">
      <t>タク</t>
    </rPh>
    <rPh sb="1" eb="2">
      <t>リツ</t>
    </rPh>
    <phoneticPr fontId="2"/>
  </si>
  <si>
    <t>最大期待値</t>
    <rPh sb="0" eb="2">
      <t>サイダイ</t>
    </rPh>
    <rPh sb="2" eb="5">
      <t>キタイチ</t>
    </rPh>
    <phoneticPr fontId="4"/>
  </si>
  <si>
    <t>w1</t>
    <phoneticPr fontId="2"/>
  </si>
  <si>
    <t>同最大値</t>
    <rPh sb="0" eb="1">
      <t>ドウ</t>
    </rPh>
    <rPh sb="1" eb="4">
      <t>サイダイチ</t>
    </rPh>
    <phoneticPr fontId="2"/>
  </si>
  <si>
    <t>成功率</t>
    <rPh sb="0" eb="3">
      <t>セイコウリツ</t>
    </rPh>
    <phoneticPr fontId="2"/>
  </si>
  <si>
    <t>試行回数</t>
    <rPh sb="0" eb="2">
      <t>シコウ</t>
    </rPh>
    <rPh sb="2" eb="4">
      <t>カイスウ</t>
    </rPh>
    <phoneticPr fontId="2"/>
  </si>
  <si>
    <t>成功回数:y</t>
    <rPh sb="0" eb="4">
      <t>セイコウカイスウ</t>
    </rPh>
    <phoneticPr fontId="2"/>
  </si>
  <si>
    <t>x</t>
    <phoneticPr fontId="2"/>
  </si>
  <si>
    <t>標準得点</t>
    <phoneticPr fontId="2"/>
  </si>
  <si>
    <t>逸脱得点</t>
    <rPh sb="0" eb="2">
      <t>イツダツ</t>
    </rPh>
    <rPh sb="2" eb="4">
      <t>トクテン</t>
    </rPh>
    <phoneticPr fontId="2"/>
  </si>
  <si>
    <t>対照期待得点</t>
    <rPh sb="0" eb="2">
      <t>タイショウ</t>
    </rPh>
    <rPh sb="2" eb="4">
      <t>キタイ</t>
    </rPh>
    <rPh sb="4" eb="6">
      <t>トクテン</t>
    </rPh>
    <phoneticPr fontId="4"/>
  </si>
  <si>
    <t>最小値</t>
    <rPh sb="2" eb="3">
      <t>チ</t>
    </rPh>
    <phoneticPr fontId="4"/>
  </si>
  <si>
    <t>平均値</t>
    <rPh sb="0" eb="2">
      <t>ヘイキン</t>
    </rPh>
    <rPh sb="2" eb="3">
      <t>チ</t>
    </rPh>
    <phoneticPr fontId="4"/>
  </si>
  <si>
    <t>中間値</t>
    <rPh sb="2" eb="3">
      <t>チ</t>
    </rPh>
    <phoneticPr fontId="4"/>
  </si>
  <si>
    <t>最大値</t>
    <rPh sb="2" eb="3">
      <t>チ</t>
    </rPh>
    <phoneticPr fontId="4"/>
  </si>
  <si>
    <t>限定得点：全体</t>
    <rPh sb="5" eb="7">
      <t>ゼンタイ</t>
    </rPh>
    <phoneticPr fontId="4"/>
  </si>
  <si>
    <t>対照限定得点：全体</t>
    <rPh sb="7" eb="9">
      <t>ゼンタイ</t>
    </rPh>
    <phoneticPr fontId="4"/>
  </si>
  <si>
    <t>和</t>
    <rPh sb="0" eb="1">
      <t>ワ</t>
    </rPh>
    <phoneticPr fontId="4"/>
  </si>
  <si>
    <t>個数</t>
    <rPh sb="0" eb="2">
      <t>コスウ</t>
    </rPh>
    <phoneticPr fontId="2"/>
  </si>
  <si>
    <t>平均</t>
    <rPh sb="0" eb="2">
      <t>ヘイキン</t>
    </rPh>
    <phoneticPr fontId="4"/>
  </si>
  <si>
    <t>標準偏差</t>
    <rPh sb="0" eb="2">
      <t>ヒョウジュン</t>
    </rPh>
    <rPh sb="2" eb="4">
      <t>ヘンサ</t>
    </rPh>
    <phoneticPr fontId="4"/>
  </si>
  <si>
    <t>変動係数</t>
    <rPh sb="0" eb="2">
      <t>ヘンドウ</t>
    </rPh>
    <rPh sb="2" eb="4">
      <t>ケイスウ</t>
    </rPh>
    <phoneticPr fontId="2"/>
  </si>
  <si>
    <t>正規標準偏差</t>
    <phoneticPr fontId="2"/>
  </si>
  <si>
    <t>卓立得点：全体</t>
    <phoneticPr fontId="4"/>
  </si>
  <si>
    <t>対照卓立得点：全体</t>
    <phoneticPr fontId="4"/>
  </si>
  <si>
    <t>標準得点：全体</t>
    <phoneticPr fontId="1"/>
  </si>
  <si>
    <t>正規標準得点：全体</t>
    <phoneticPr fontId="1"/>
  </si>
  <si>
    <t xml:space="preserve">二項分布得点：全体 </t>
    <phoneticPr fontId="2"/>
  </si>
  <si>
    <t>逸脱確率得点：全体</t>
    <phoneticPr fontId="2"/>
  </si>
  <si>
    <t>限定得点：両軸</t>
    <phoneticPr fontId="4"/>
  </si>
  <si>
    <t>対照限定得点：両軸</t>
    <phoneticPr fontId="4"/>
  </si>
  <si>
    <t>卓立得点：両軸</t>
  </si>
  <si>
    <t>対照卓立得点：両軸</t>
  </si>
  <si>
    <t>標準得点：両軸</t>
  </si>
  <si>
    <t>正規標準得点：両軸</t>
  </si>
  <si>
    <t>逸脱確率得点：両軸</t>
  </si>
  <si>
    <t>限定得点：横軸</t>
  </si>
  <si>
    <t>対照限定得点：横軸</t>
    <rPh sb="0" eb="2">
      <t>タイショウ</t>
    </rPh>
    <phoneticPr fontId="2"/>
  </si>
  <si>
    <t>対照卓立得点：横軸</t>
    <rPh sb="0" eb="2">
      <t>タイショウ</t>
    </rPh>
    <phoneticPr fontId="4"/>
  </si>
  <si>
    <t>標準得点：横軸</t>
  </si>
  <si>
    <t>正規標準得点：横軸</t>
  </si>
  <si>
    <t>二項分布得点：横軸</t>
  </si>
  <si>
    <t>逸脱得点：横軸</t>
    <rPh sb="2" eb="4">
      <t>トクテン</t>
    </rPh>
    <phoneticPr fontId="2"/>
  </si>
  <si>
    <t>限定得点：縦軸</t>
  </si>
  <si>
    <t>対照限定得点：縦軸</t>
    <rPh sb="0" eb="2">
      <t>タイショウ</t>
    </rPh>
    <phoneticPr fontId="2"/>
  </si>
  <si>
    <t>卓立得点：縦軸</t>
  </si>
  <si>
    <t>対照卓立得点：縦軸</t>
  </si>
  <si>
    <t>標準得点：縦軸</t>
  </si>
  <si>
    <t>正規標準得点：縦軸</t>
  </si>
  <si>
    <t>二項分布得点：縦軸</t>
  </si>
  <si>
    <t>L1</t>
  </si>
  <si>
    <t>L2</t>
  </si>
  <si>
    <t>L3</t>
  </si>
  <si>
    <t>L4</t>
  </si>
  <si>
    <t>L5</t>
  </si>
  <si>
    <t>二項分布（実験）</t>
    <rPh sb="0" eb="2">
      <t>ニコウ</t>
    </rPh>
    <rPh sb="2" eb="4">
      <t>ブンプ</t>
    </rPh>
    <rPh sb="5" eb="7">
      <t>ジッケン</t>
    </rPh>
    <phoneticPr fontId="2"/>
  </si>
  <si>
    <t>w3</t>
    <phoneticPr fontId="2"/>
  </si>
  <si>
    <t>w1</t>
    <phoneticPr fontId="2"/>
  </si>
  <si>
    <t>w2</t>
    <phoneticPr fontId="2"/>
  </si>
  <si>
    <t>w3</t>
    <phoneticPr fontId="2"/>
  </si>
  <si>
    <t>w1</t>
    <phoneticPr fontId="2"/>
  </si>
  <si>
    <t>w4</t>
    <phoneticPr fontId="2"/>
  </si>
  <si>
    <t>卓立得点：横軸</t>
    <phoneticPr fontId="2"/>
  </si>
  <si>
    <t>w4</t>
    <phoneticPr fontId="2"/>
  </si>
  <si>
    <t>w3</t>
    <phoneticPr fontId="2"/>
  </si>
  <si>
    <t>w2</t>
    <phoneticPr fontId="2"/>
  </si>
  <si>
    <t>L1</t>
    <phoneticPr fontId="1"/>
  </si>
  <si>
    <t>L2</t>
    <phoneticPr fontId="1"/>
  </si>
  <si>
    <t>L3</t>
    <phoneticPr fontId="1"/>
  </si>
  <si>
    <t>L4</t>
    <phoneticPr fontId="1"/>
  </si>
  <si>
    <t>L5</t>
    <phoneticPr fontId="1"/>
  </si>
  <si>
    <t>w1</t>
    <phoneticPr fontId="1"/>
  </si>
  <si>
    <t>w2</t>
    <phoneticPr fontId="1"/>
  </si>
  <si>
    <t>w3</t>
    <phoneticPr fontId="1"/>
  </si>
  <si>
    <t>w4</t>
    <phoneticPr fontId="1"/>
  </si>
  <si>
    <t>順位得点</t>
    <phoneticPr fontId="1"/>
  </si>
  <si>
    <t>平均</t>
    <rPh sb="0" eb="2">
      <t>ヘイキン</t>
    </rPh>
    <phoneticPr fontId="2"/>
  </si>
  <si>
    <t>代表値</t>
    <rPh sb="0" eb="2">
      <t>ダイヒョウ</t>
    </rPh>
    <rPh sb="2" eb="3">
      <t>チ</t>
    </rPh>
    <phoneticPr fontId="2"/>
  </si>
  <si>
    <t>算術平均</t>
    <rPh sb="0" eb="2">
      <t>サンジュツ</t>
    </rPh>
    <rPh sb="2" eb="4">
      <t>ヘイキン</t>
    </rPh>
    <phoneticPr fontId="2"/>
  </si>
  <si>
    <t>昨日</t>
    <rPh sb="0" eb="2">
      <t>サクジツ</t>
    </rPh>
    <phoneticPr fontId="2"/>
  </si>
  <si>
    <t>今日</t>
    <rPh sb="0" eb="2">
      <t>キョウ</t>
    </rPh>
    <phoneticPr fontId="2"/>
  </si>
  <si>
    <t>調和平均</t>
    <rPh sb="0" eb="2">
      <t>チョウワ</t>
    </rPh>
    <rPh sb="2" eb="4">
      <t>ヘイキン</t>
    </rPh>
    <phoneticPr fontId="2"/>
  </si>
  <si>
    <t>分数平均</t>
    <rPh sb="0" eb="2">
      <t>ブンスウ</t>
    </rPh>
    <rPh sb="2" eb="4">
      <t>ヘイキン</t>
    </rPh>
    <phoneticPr fontId="2"/>
  </si>
  <si>
    <t>異距離</t>
    <rPh sb="0" eb="1">
      <t>イ</t>
    </rPh>
    <rPh sb="1" eb="3">
      <t>キョリ</t>
    </rPh>
    <phoneticPr fontId="2"/>
  </si>
  <si>
    <t>同距離</t>
    <rPh sb="0" eb="1">
      <t>ドウ</t>
    </rPh>
    <rPh sb="1" eb="3">
      <t>キョリ</t>
    </rPh>
    <phoneticPr fontId="2"/>
  </si>
  <si>
    <t>和</t>
    <rPh sb="0" eb="1">
      <t>ワ</t>
    </rPh>
    <phoneticPr fontId="2"/>
  </si>
  <si>
    <t>逸脱得点：両軸</t>
    <phoneticPr fontId="2"/>
  </si>
  <si>
    <t>L1</t>
    <phoneticPr fontId="2"/>
  </si>
  <si>
    <t>L2</t>
    <phoneticPr fontId="2"/>
  </si>
  <si>
    <t>L3</t>
    <phoneticPr fontId="2"/>
  </si>
  <si>
    <t/>
  </si>
  <si>
    <t>逸脱得点：横軸</t>
    <phoneticPr fontId="2"/>
  </si>
  <si>
    <t>L4</t>
    <phoneticPr fontId="2"/>
  </si>
  <si>
    <t>L5</t>
    <phoneticPr fontId="2"/>
  </si>
  <si>
    <t>w1</t>
    <phoneticPr fontId="2"/>
  </si>
  <si>
    <t>w2</t>
    <phoneticPr fontId="2"/>
  </si>
  <si>
    <t>w3</t>
    <phoneticPr fontId="2"/>
  </si>
  <si>
    <t>w4</t>
    <phoneticPr fontId="2"/>
  </si>
  <si>
    <t>逸脱得点：縦軸</t>
    <phoneticPr fontId="2"/>
  </si>
  <si>
    <t>逸脱得点：全体</t>
    <phoneticPr fontId="2"/>
  </si>
  <si>
    <t>修正得点</t>
    <rPh sb="0" eb="2">
      <t>シュウセイ</t>
    </rPh>
    <rPh sb="2" eb="4">
      <t>トクテン</t>
    </rPh>
    <phoneticPr fontId="2"/>
  </si>
  <si>
    <t>O.F.</t>
    <phoneticPr fontId="2"/>
  </si>
  <si>
    <t>Sm.c</t>
    <phoneticPr fontId="4"/>
  </si>
  <si>
    <t>Sm.r</t>
    <phoneticPr fontId="4"/>
  </si>
  <si>
    <t>M.F.</t>
    <phoneticPr fontId="2"/>
  </si>
  <si>
    <t>D.R.S.</t>
    <phoneticPr fontId="2"/>
  </si>
  <si>
    <t>A.R.S.</t>
    <phoneticPr fontId="2"/>
  </si>
  <si>
    <t>降順位得点</t>
    <rPh sb="0" eb="1">
      <t>オ</t>
    </rPh>
    <phoneticPr fontId="1"/>
  </si>
  <si>
    <t>昇順位得点</t>
    <rPh sb="0" eb="1">
      <t>ノボル</t>
    </rPh>
    <phoneticPr fontId="1"/>
  </si>
  <si>
    <t>D.R.S.r</t>
  </si>
  <si>
    <t>D.R.S.c</t>
  </si>
  <si>
    <t>D.R.S.b</t>
  </si>
  <si>
    <t>D.R.S.a</t>
  </si>
  <si>
    <t>A.R.S.r</t>
  </si>
  <si>
    <t>A.R.S.c</t>
  </si>
  <si>
    <t>A.R.S.b</t>
  </si>
  <si>
    <t>A.R.S.a</t>
  </si>
  <si>
    <t>実測値</t>
    <rPh sb="0" eb="3">
      <t>ジッソクチ</t>
    </rPh>
    <phoneticPr fontId="2"/>
  </si>
  <si>
    <t>(2a - (b+c))/(2a+(b+c))</t>
    <phoneticPr fontId="2"/>
  </si>
  <si>
    <t>(2a - (b+c))/(2a+(b+c))</t>
    <phoneticPr fontId="2"/>
  </si>
  <si>
    <t>Preference</t>
    <phoneticPr fontId="4"/>
  </si>
  <si>
    <t>Dice</t>
    <phoneticPr fontId="2"/>
  </si>
  <si>
    <t>2a/(2a+b+c)</t>
    <phoneticPr fontId="4"/>
  </si>
  <si>
    <t>Dice</t>
    <phoneticPr fontId="2"/>
  </si>
  <si>
    <t>R.F.a.p</t>
  </si>
  <si>
    <t>距離(km)</t>
    <rPh sb="0" eb="2">
      <t>キョリ</t>
    </rPh>
    <phoneticPr fontId="2"/>
  </si>
  <si>
    <t>時間(h)</t>
    <rPh sb="0" eb="2">
      <t>ジカン</t>
    </rPh>
    <phoneticPr fontId="2"/>
  </si>
  <si>
    <t>速度(km/h)</t>
    <rPh sb="0" eb="2">
      <t>ソクド</t>
    </rPh>
    <phoneticPr fontId="2"/>
  </si>
  <si>
    <t xml:space="preserve">標準偏差 </t>
    <rPh sb="0" eb="2">
      <t>ヒョウジュン</t>
    </rPh>
    <rPh sb="2" eb="4">
      <t>ヘンサ</t>
    </rPh>
    <phoneticPr fontId="4"/>
  </si>
  <si>
    <r>
      <rPr>
        <b/>
        <sz val="11"/>
        <color theme="1"/>
        <rFont val="ＭＳ Ｐ明朝"/>
        <family val="1"/>
        <charset val="128"/>
      </rPr>
      <t>限定得点</t>
    </r>
    <r>
      <rPr>
        <b/>
        <sz val="11"/>
        <color theme="1"/>
        <rFont val="Times New Roman"/>
        <family val="1"/>
      </rPr>
      <t xml:space="preserve"> </t>
    </r>
    <phoneticPr fontId="2"/>
  </si>
  <si>
    <r>
      <rPr>
        <b/>
        <sz val="11"/>
        <rFont val="ＭＳ 明朝"/>
        <family val="1"/>
        <charset val="128"/>
      </rPr>
      <t>比較得点</t>
    </r>
    <rPh sb="0" eb="2">
      <t>ヒカク</t>
    </rPh>
    <rPh sb="2" eb="4">
      <t>トクテン</t>
    </rPh>
    <phoneticPr fontId="2"/>
  </si>
  <si>
    <r>
      <t>1.</t>
    </r>
    <r>
      <rPr>
        <b/>
        <sz val="11"/>
        <color theme="1"/>
        <rFont val="ＭＳ 明朝"/>
        <family val="1"/>
        <charset val="128"/>
      </rPr>
      <t>平均値得点</t>
    </r>
    <rPh sb="2" eb="4">
      <t>ヘイキン</t>
    </rPh>
    <phoneticPr fontId="1"/>
  </si>
  <si>
    <r>
      <t>1.1.</t>
    </r>
    <r>
      <rPr>
        <b/>
        <sz val="11"/>
        <color theme="1"/>
        <rFont val="ＭＳ 明朝"/>
        <family val="1"/>
        <charset val="128"/>
      </rPr>
      <t>平均値差</t>
    </r>
    <r>
      <rPr>
        <b/>
        <sz val="11"/>
        <color theme="1"/>
        <rFont val="Times New Roman"/>
        <family val="1"/>
      </rPr>
      <t xml:space="preserve"> </t>
    </r>
    <rPh sb="4" eb="7">
      <t>ヘイキンチ</t>
    </rPh>
    <rPh sb="7" eb="8">
      <t>サ</t>
    </rPh>
    <phoneticPr fontId="2"/>
  </si>
  <si>
    <r>
      <rPr>
        <sz val="11"/>
        <color theme="1"/>
        <rFont val="ＭＳ 明朝"/>
        <family val="1"/>
        <charset val="128"/>
      </rPr>
      <t>平均値</t>
    </r>
    <rPh sb="0" eb="2">
      <t>ヘイキン</t>
    </rPh>
    <rPh sb="2" eb="3">
      <t>チ</t>
    </rPh>
    <phoneticPr fontId="4"/>
  </si>
  <si>
    <r>
      <rPr>
        <sz val="11"/>
        <color theme="1"/>
        <rFont val="ＭＳ 明朝"/>
        <family val="1"/>
        <charset val="128"/>
      </rPr>
      <t>平均値差得点：横軸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</si>
  <si>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平均値差得点：縦軸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</si>
  <si>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平均値差得点：両軸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</si>
  <si>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平均値差得点：全体</t>
    </r>
    <rPh sb="3" eb="4">
      <t>サ</t>
    </rPh>
    <phoneticPr fontId="1"/>
  </si>
  <si>
    <r>
      <t>1.2.</t>
    </r>
    <r>
      <rPr>
        <b/>
        <sz val="11"/>
        <color theme="1"/>
        <rFont val="ＭＳ 明朝"/>
        <family val="1"/>
        <charset val="128"/>
      </rPr>
      <t>平均値比</t>
    </r>
    <rPh sb="4" eb="7">
      <t>ヘイキンチ</t>
    </rPh>
    <rPh sb="7" eb="8">
      <t>ヒ</t>
    </rPh>
    <phoneticPr fontId="2"/>
  </si>
  <si>
    <r>
      <rPr>
        <sz val="11"/>
        <color theme="1"/>
        <rFont val="ＭＳ 明朝"/>
        <family val="1"/>
        <charset val="128"/>
      </rPr>
      <t>実測値</t>
    </r>
    <rPh sb="0" eb="3">
      <t>ジッソクチ</t>
    </rPh>
    <phoneticPr fontId="2"/>
  </si>
  <si>
    <r>
      <rPr>
        <sz val="11"/>
        <color theme="1"/>
        <rFont val="ＭＳ 明朝"/>
        <family val="1"/>
        <charset val="128"/>
      </rPr>
      <t>平均値比較得点：横軸</t>
    </r>
    <phoneticPr fontId="1"/>
  </si>
  <si>
    <r>
      <rPr>
        <sz val="11"/>
        <color theme="1"/>
        <rFont val="ＭＳ 明朝"/>
        <family val="1"/>
        <charset val="128"/>
      </rPr>
      <t>平均値比得点：縦軸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</si>
  <si>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平均値比得点：両軸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</si>
  <si>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平均値比得点：全体</t>
    </r>
    <rPh sb="3" eb="4">
      <t>ヒ</t>
    </rPh>
    <phoneticPr fontId="1"/>
  </si>
  <si>
    <r>
      <t>1.3.</t>
    </r>
    <r>
      <rPr>
        <b/>
        <sz val="11"/>
        <color theme="1"/>
        <rFont val="ＭＳ 明朝"/>
        <family val="1"/>
        <charset val="128"/>
      </rPr>
      <t>平均値差比</t>
    </r>
    <rPh sb="4" eb="7">
      <t>ヘイキンチ</t>
    </rPh>
    <rPh sb="7" eb="8">
      <t>サ</t>
    </rPh>
    <rPh sb="8" eb="9">
      <t>ヒ</t>
    </rPh>
    <phoneticPr fontId="2"/>
  </si>
  <si>
    <r>
      <rPr>
        <sz val="11"/>
        <color theme="1"/>
        <rFont val="ＭＳ 明朝"/>
        <family val="1"/>
        <charset val="128"/>
      </rPr>
      <t>平均値差比得点：横軸</t>
    </r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</si>
  <si>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平均値差比得点：縦軸</t>
    </r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</si>
  <si>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平均値差比得点：両軸</t>
    </r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</si>
  <si>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平均値差比得点：全体</t>
    </r>
    <rPh sb="4" eb="5">
      <t>ヒ</t>
    </rPh>
    <phoneticPr fontId="1"/>
  </si>
  <si>
    <r>
      <t>2.</t>
    </r>
    <r>
      <rPr>
        <b/>
        <sz val="11"/>
        <color theme="1"/>
        <rFont val="ＭＳ 明朝"/>
        <family val="1"/>
        <charset val="128"/>
      </rPr>
      <t>中央値比較得点</t>
    </r>
    <rPh sb="5" eb="7">
      <t>ヒカク</t>
    </rPh>
    <phoneticPr fontId="1"/>
  </si>
  <si>
    <r>
      <t>2.1.</t>
    </r>
    <r>
      <rPr>
        <b/>
        <sz val="11"/>
        <color theme="1"/>
        <rFont val="ＭＳ 明朝"/>
        <family val="1"/>
        <charset val="128"/>
      </rPr>
      <t>中央値差</t>
    </r>
    <r>
      <rPr>
        <b/>
        <sz val="11"/>
        <color theme="1"/>
        <rFont val="Times New Roman"/>
        <family val="1"/>
      </rPr>
      <t xml:space="preserve"> </t>
    </r>
    <rPh sb="4" eb="6">
      <t>チュウオウ</t>
    </rPh>
    <rPh sb="6" eb="7">
      <t>チ</t>
    </rPh>
    <rPh sb="7" eb="8">
      <t>サ</t>
    </rPh>
    <phoneticPr fontId="2"/>
  </si>
  <si>
    <r>
      <rPr>
        <sz val="11"/>
        <color theme="1"/>
        <rFont val="ＭＳ 明朝"/>
        <family val="1"/>
        <charset val="128"/>
      </rPr>
      <t>実測値</t>
    </r>
  </si>
  <si>
    <r>
      <rPr>
        <sz val="11"/>
        <color theme="1"/>
        <rFont val="ＭＳ Ｐ明朝"/>
        <family val="1"/>
        <charset val="128"/>
      </rPr>
      <t>中央値</t>
    </r>
    <r>
      <rPr>
        <sz val="11"/>
        <color theme="1"/>
        <rFont val="Times New Roman"/>
        <family val="1"/>
      </rPr>
      <t xml:space="preserve"> </t>
    </r>
    <rPh sb="2" eb="3">
      <t>チ</t>
    </rPh>
    <phoneticPr fontId="4"/>
  </si>
  <si>
    <r>
      <rPr>
        <sz val="11"/>
        <color theme="1"/>
        <rFont val="ＭＳ 明朝"/>
        <family val="1"/>
        <charset val="128"/>
      </rPr>
      <t>中央値</t>
    </r>
    <rPh sb="2" eb="3">
      <t>チ</t>
    </rPh>
    <phoneticPr fontId="4"/>
  </si>
  <si>
    <r>
      <rPr>
        <sz val="11"/>
        <color theme="1"/>
        <rFont val="ＭＳ 明朝"/>
        <family val="1"/>
        <charset val="128"/>
      </rPr>
      <t>中央値差得点：横軸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</si>
  <si>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中央値差得点：縦軸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</si>
  <si>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中央値差得点：両軸</t>
    </r>
    <rPh sb="0" eb="2">
      <t>チュウオウ</t>
    </rPh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</si>
  <si>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中央値差得点：全体</t>
    </r>
    <rPh sb="3" eb="4">
      <t>サ</t>
    </rPh>
    <phoneticPr fontId="1"/>
  </si>
  <si>
    <r>
      <rPr>
        <b/>
        <sz val="11"/>
        <color theme="1"/>
        <rFont val="ＭＳ 明朝"/>
        <family val="1"/>
        <charset val="128"/>
      </rPr>
      <t>中央値比</t>
    </r>
    <rPh sb="0" eb="2">
      <t>チュウオウ</t>
    </rPh>
    <rPh sb="2" eb="3">
      <t>チ</t>
    </rPh>
    <rPh sb="3" eb="4">
      <t>ヒ</t>
    </rPh>
    <phoneticPr fontId="2"/>
  </si>
  <si>
    <r>
      <rPr>
        <sz val="11"/>
        <color theme="1"/>
        <rFont val="ＭＳ 明朝"/>
        <family val="1"/>
        <charset val="128"/>
      </rPr>
      <t>中央値比得点：横軸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</si>
  <si>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中央値比得点：縦軸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</si>
  <si>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中央値比得点：両軸</t>
    </r>
    <rPh sb="0" eb="2">
      <t>チュウオウ</t>
    </rPh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</si>
  <si>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中央値比得点：全体</t>
    </r>
    <rPh sb="0" eb="2">
      <t>チュウオウ</t>
    </rPh>
    <rPh sb="3" eb="4">
      <t>ヒ</t>
    </rPh>
    <phoneticPr fontId="1"/>
  </si>
  <si>
    <r>
      <rPr>
        <b/>
        <sz val="11"/>
        <color theme="1"/>
        <rFont val="ＭＳ 明朝"/>
        <family val="1"/>
        <charset val="128"/>
      </rPr>
      <t>中央値差比</t>
    </r>
    <rPh sb="0" eb="2">
      <t>チュウオウ</t>
    </rPh>
    <rPh sb="2" eb="3">
      <t>チ</t>
    </rPh>
    <rPh sb="3" eb="4">
      <t>サ</t>
    </rPh>
    <rPh sb="4" eb="5">
      <t>ヒ</t>
    </rPh>
    <phoneticPr fontId="2"/>
  </si>
  <si>
    <r>
      <rPr>
        <sz val="11"/>
        <color theme="1"/>
        <rFont val="ＭＳ 明朝"/>
        <family val="1"/>
        <charset val="128"/>
      </rPr>
      <t>中央値差比得点：縦軸</t>
    </r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</si>
  <si>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中央値差比得点：両軸</t>
    </r>
    <rPh sb="0" eb="2">
      <t>チュウオウ</t>
    </rPh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</si>
  <si>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中央値差比得点：全体</t>
    </r>
    <rPh sb="0" eb="2">
      <t>チュウオウ</t>
    </rPh>
    <rPh sb="3" eb="4">
      <t>サ</t>
    </rPh>
    <rPh sb="4" eb="5">
      <t>ヒ</t>
    </rPh>
    <phoneticPr fontId="1"/>
  </si>
  <si>
    <r>
      <t>3.</t>
    </r>
    <r>
      <rPr>
        <b/>
        <sz val="11"/>
        <color theme="1"/>
        <rFont val="ＭＳ 明朝"/>
        <family val="1"/>
        <charset val="128"/>
      </rPr>
      <t>中間値比較得点</t>
    </r>
    <rPh sb="5" eb="7">
      <t>ヒカク</t>
    </rPh>
    <phoneticPr fontId="1"/>
  </si>
  <si>
    <r>
      <t>3.1.</t>
    </r>
    <r>
      <rPr>
        <b/>
        <sz val="11"/>
        <color theme="1"/>
        <rFont val="ＭＳ 明朝"/>
        <family val="1"/>
        <charset val="128"/>
      </rPr>
      <t>中間値差</t>
    </r>
    <r>
      <rPr>
        <b/>
        <sz val="11"/>
        <color theme="1"/>
        <rFont val="Times New Roman"/>
        <family val="1"/>
      </rPr>
      <t xml:space="preserve"> </t>
    </r>
    <rPh sb="4" eb="6">
      <t>チュウカン</t>
    </rPh>
    <rPh sb="6" eb="7">
      <t>チ</t>
    </rPh>
    <rPh sb="7" eb="8">
      <t>サ</t>
    </rPh>
    <phoneticPr fontId="2"/>
  </si>
  <si>
    <r>
      <rPr>
        <sz val="11"/>
        <color theme="1"/>
        <rFont val="ＭＳ 明朝"/>
        <family val="1"/>
        <charset val="128"/>
      </rPr>
      <t>中間値</t>
    </r>
    <rPh sb="2" eb="3">
      <t>チ</t>
    </rPh>
    <phoneticPr fontId="4"/>
  </si>
  <si>
    <r>
      <rPr>
        <sz val="11"/>
        <color theme="1"/>
        <rFont val="ＭＳ 明朝"/>
        <family val="1"/>
        <charset val="128"/>
      </rPr>
      <t>中間値差得点：横軸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</si>
  <si>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中間値差得点：縦軸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</si>
  <si>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中間値差得点：両軸</t>
    </r>
    <rPh sb="0" eb="3">
      <t>チュウカンチ</t>
    </rPh>
    <rPh sb="2" eb="3">
      <t>チ</t>
    </rPh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</si>
  <si>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中間値差得点：全体</t>
    </r>
    <rPh sb="3" eb="4">
      <t>サ</t>
    </rPh>
    <phoneticPr fontId="1"/>
  </si>
  <si>
    <r>
      <t>3.2.</t>
    </r>
    <r>
      <rPr>
        <b/>
        <sz val="11"/>
        <color theme="1"/>
        <rFont val="ＭＳ 明朝"/>
        <family val="1"/>
        <charset val="128"/>
      </rPr>
      <t>中間値比</t>
    </r>
    <rPh sb="4" eb="6">
      <t>チュウカン</t>
    </rPh>
    <rPh sb="6" eb="7">
      <t>チ</t>
    </rPh>
    <rPh sb="7" eb="8">
      <t>ヒ</t>
    </rPh>
    <phoneticPr fontId="2"/>
  </si>
  <si>
    <r>
      <rPr>
        <sz val="11"/>
        <color theme="1"/>
        <rFont val="ＭＳ 明朝"/>
        <family val="1"/>
        <charset val="128"/>
      </rPr>
      <t>中間値比得点：横軸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</si>
  <si>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中間値比得点：縦軸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</si>
  <si>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中間値比得点：両軸</t>
    </r>
    <rPh sb="0" eb="3">
      <t>チュウカンチ</t>
    </rPh>
    <rPh sb="2" eb="3">
      <t>チ</t>
    </rPh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</si>
  <si>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中間値比得点：全体</t>
    </r>
    <rPh sb="3" eb="4">
      <t>ヒ</t>
    </rPh>
    <phoneticPr fontId="1"/>
  </si>
  <si>
    <r>
      <t>3.3.</t>
    </r>
    <r>
      <rPr>
        <b/>
        <sz val="11"/>
        <color theme="1"/>
        <rFont val="ＭＳ 明朝"/>
        <family val="1"/>
        <charset val="128"/>
      </rPr>
      <t>中間値差比</t>
    </r>
    <r>
      <rPr>
        <b/>
        <sz val="11"/>
        <color theme="1"/>
        <rFont val="Times New Roman"/>
        <family val="1"/>
      </rPr>
      <t xml:space="preserve"> </t>
    </r>
    <rPh sb="4" eb="6">
      <t>チュウカン</t>
    </rPh>
    <rPh sb="6" eb="7">
      <t>チ</t>
    </rPh>
    <rPh sb="7" eb="8">
      <t>サ</t>
    </rPh>
    <rPh sb="8" eb="9">
      <t>ヒ</t>
    </rPh>
    <phoneticPr fontId="2"/>
  </si>
  <si>
    <r>
      <rPr>
        <sz val="11"/>
        <color theme="1"/>
        <rFont val="ＭＳ 明朝"/>
        <family val="1"/>
        <charset val="128"/>
      </rPr>
      <t>中間値差比得点：横軸</t>
    </r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</si>
  <si>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中間値差比得点：縦軸</t>
    </r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</si>
  <si>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中間値差比得点：両軸</t>
    </r>
    <rPh sb="0" eb="3">
      <t>チュウカンチ</t>
    </rPh>
    <rPh sb="2" eb="3">
      <t>チ</t>
    </rPh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</si>
  <si>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中間値差比得点：全体</t>
    </r>
    <rPh sb="4" eb="5">
      <t>ヒ</t>
    </rPh>
    <phoneticPr fontId="1"/>
  </si>
  <si>
    <r>
      <t>4.</t>
    </r>
    <r>
      <rPr>
        <b/>
        <sz val="11"/>
        <color theme="1"/>
        <rFont val="ＭＳ 明朝"/>
        <family val="1"/>
        <charset val="128"/>
      </rPr>
      <t>最小値比較得点</t>
    </r>
    <rPh sb="2" eb="5">
      <t>サイショウチ</t>
    </rPh>
    <rPh sb="5" eb="7">
      <t>ヒカク</t>
    </rPh>
    <phoneticPr fontId="1"/>
  </si>
  <si>
    <r>
      <t>4.1.</t>
    </r>
    <r>
      <rPr>
        <b/>
        <sz val="11"/>
        <color theme="1"/>
        <rFont val="ＭＳ 明朝"/>
        <family val="1"/>
        <charset val="128"/>
      </rPr>
      <t>最小値差</t>
    </r>
    <r>
      <rPr>
        <b/>
        <sz val="11"/>
        <color theme="1"/>
        <rFont val="Times New Roman"/>
        <family val="1"/>
      </rPr>
      <t xml:space="preserve"> </t>
    </r>
    <rPh sb="6" eb="7">
      <t>チ</t>
    </rPh>
    <rPh sb="7" eb="8">
      <t>サ</t>
    </rPh>
    <phoneticPr fontId="2"/>
  </si>
  <si>
    <r>
      <rPr>
        <sz val="11"/>
        <color theme="1"/>
        <rFont val="ＭＳ 明朝"/>
        <family val="1"/>
        <charset val="128"/>
      </rPr>
      <t>最小値</t>
    </r>
    <rPh sb="2" eb="3">
      <t>チ</t>
    </rPh>
    <phoneticPr fontId="4"/>
  </si>
  <si>
    <r>
      <rPr>
        <sz val="11"/>
        <color theme="1"/>
        <rFont val="ＭＳ 明朝"/>
        <family val="1"/>
        <charset val="128"/>
      </rPr>
      <t>最小値差得点：横軸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</si>
  <si>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最小値差得点：縦軸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</si>
  <si>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最小値差得点：両軸</t>
    </r>
    <rPh sb="2" eb="3">
      <t>チ</t>
    </rPh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</si>
  <si>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最小値差得点：全体</t>
    </r>
    <rPh sb="3" eb="4">
      <t>サ</t>
    </rPh>
    <phoneticPr fontId="1"/>
  </si>
  <si>
    <r>
      <t>4.2.</t>
    </r>
    <r>
      <rPr>
        <b/>
        <sz val="11"/>
        <color theme="1"/>
        <rFont val="ＭＳ 明朝"/>
        <family val="1"/>
        <charset val="128"/>
      </rPr>
      <t>最小値比</t>
    </r>
    <rPh sb="6" eb="7">
      <t>チ</t>
    </rPh>
    <rPh sb="7" eb="8">
      <t>ヒ</t>
    </rPh>
    <phoneticPr fontId="2"/>
  </si>
  <si>
    <r>
      <rPr>
        <sz val="11"/>
        <color theme="1"/>
        <rFont val="ＭＳ 明朝"/>
        <family val="1"/>
        <charset val="128"/>
      </rPr>
      <t>最小値比得点：横軸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</si>
  <si>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最小値比得点：縦軸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</si>
  <si>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最小値比得点：両軸</t>
    </r>
    <rPh sb="2" eb="3">
      <t>チ</t>
    </rPh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</si>
  <si>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最小値比得点：全体</t>
    </r>
    <rPh sb="3" eb="4">
      <t>ヒ</t>
    </rPh>
    <phoneticPr fontId="1"/>
  </si>
  <si>
    <r>
      <t>4.3.</t>
    </r>
    <r>
      <rPr>
        <b/>
        <sz val="11"/>
        <color theme="1"/>
        <rFont val="ＭＳ 明朝"/>
        <family val="1"/>
        <charset val="128"/>
      </rPr>
      <t>最小値差比</t>
    </r>
    <r>
      <rPr>
        <b/>
        <sz val="11"/>
        <color theme="1"/>
        <rFont val="Times New Roman"/>
        <family val="1"/>
      </rPr>
      <t xml:space="preserve"> </t>
    </r>
    <rPh sb="6" eb="7">
      <t>チ</t>
    </rPh>
    <rPh sb="7" eb="8">
      <t>サ</t>
    </rPh>
    <rPh sb="8" eb="9">
      <t>ヒ</t>
    </rPh>
    <phoneticPr fontId="2"/>
  </si>
  <si>
    <r>
      <rPr>
        <sz val="11"/>
        <color theme="1"/>
        <rFont val="ＭＳ 明朝"/>
        <family val="1"/>
        <charset val="128"/>
      </rPr>
      <t>最小値差比得点：横軸</t>
    </r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</si>
  <si>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最小値差比得点：縦軸</t>
    </r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</si>
  <si>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最小値差比得点：両軸</t>
    </r>
    <rPh sb="2" eb="3">
      <t>チ</t>
    </rPh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</si>
  <si>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最小値差比得点：全体</t>
    </r>
    <rPh sb="4" eb="5">
      <t>ヒ</t>
    </rPh>
    <phoneticPr fontId="1"/>
  </si>
  <si>
    <r>
      <t>4.</t>
    </r>
    <r>
      <rPr>
        <b/>
        <sz val="11"/>
        <color theme="1"/>
        <rFont val="ＭＳ 明朝"/>
        <family val="1"/>
        <charset val="128"/>
      </rPr>
      <t>最大値比較得点</t>
    </r>
    <rPh sb="5" eb="7">
      <t>ヒカク</t>
    </rPh>
    <phoneticPr fontId="1"/>
  </si>
  <si>
    <r>
      <t>4.1.</t>
    </r>
    <r>
      <rPr>
        <b/>
        <sz val="11"/>
        <color theme="1"/>
        <rFont val="ＭＳ 明朝"/>
        <family val="1"/>
        <charset val="128"/>
      </rPr>
      <t>最大値差</t>
    </r>
    <r>
      <rPr>
        <b/>
        <sz val="11"/>
        <color theme="1"/>
        <rFont val="Times New Roman"/>
        <family val="1"/>
      </rPr>
      <t xml:space="preserve"> </t>
    </r>
    <rPh sb="6" eb="7">
      <t>チ</t>
    </rPh>
    <rPh sb="7" eb="8">
      <t>サ</t>
    </rPh>
    <phoneticPr fontId="2"/>
  </si>
  <si>
    <r>
      <rPr>
        <sz val="11"/>
        <color theme="1"/>
        <rFont val="ＭＳ 明朝"/>
        <family val="1"/>
        <charset val="128"/>
      </rPr>
      <t>最大値</t>
    </r>
    <rPh sb="2" eb="3">
      <t>チ</t>
    </rPh>
    <phoneticPr fontId="4"/>
  </si>
  <si>
    <r>
      <rPr>
        <sz val="11"/>
        <color theme="1"/>
        <rFont val="ＭＳ 明朝"/>
        <family val="1"/>
        <charset val="128"/>
      </rPr>
      <t>最大値差得点：横軸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</si>
  <si>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最大値差得点：縦軸</t>
    </r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</si>
  <si>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最大値差得点：両軸</t>
    </r>
    <rPh sb="2" eb="3">
      <t>チ</t>
    </rPh>
    <rPh sb="3" eb="4">
      <t>サ</t>
    </rPh>
    <phoneticPr fontId="1"/>
  </si>
  <si>
    <r>
      <rPr>
        <sz val="11"/>
        <color theme="1"/>
        <rFont val="ＭＳ 明朝"/>
        <family val="1"/>
        <charset val="128"/>
      </rPr>
      <t>最大値差得点：全体</t>
    </r>
    <rPh sb="3" eb="4">
      <t>サ</t>
    </rPh>
    <phoneticPr fontId="1"/>
  </si>
  <si>
    <r>
      <t>4.2.</t>
    </r>
    <r>
      <rPr>
        <b/>
        <sz val="11"/>
        <color theme="1"/>
        <rFont val="ＭＳ 明朝"/>
        <family val="1"/>
        <charset val="128"/>
      </rPr>
      <t>最大値比</t>
    </r>
    <rPh sb="6" eb="7">
      <t>チ</t>
    </rPh>
    <rPh sb="7" eb="8">
      <t>ヒ</t>
    </rPh>
    <phoneticPr fontId="2"/>
  </si>
  <si>
    <r>
      <rPr>
        <sz val="11"/>
        <color theme="1"/>
        <rFont val="ＭＳ 明朝"/>
        <family val="1"/>
        <charset val="128"/>
      </rPr>
      <t>最大値比得点：横軸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</si>
  <si>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最大値比得点：縦軸</t>
    </r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</si>
  <si>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最大値比得点：両軸</t>
    </r>
    <rPh sb="2" eb="3">
      <t>チ</t>
    </rPh>
    <rPh sb="3" eb="4">
      <t>ヒ</t>
    </rPh>
    <phoneticPr fontId="1"/>
  </si>
  <si>
    <r>
      <rPr>
        <sz val="11"/>
        <color theme="1"/>
        <rFont val="ＭＳ 明朝"/>
        <family val="1"/>
        <charset val="128"/>
      </rPr>
      <t>最大値比得点：全体</t>
    </r>
    <rPh sb="3" eb="4">
      <t>ヒ</t>
    </rPh>
    <phoneticPr fontId="1"/>
  </si>
  <si>
    <r>
      <t>4.3.</t>
    </r>
    <r>
      <rPr>
        <b/>
        <sz val="11"/>
        <color theme="1"/>
        <rFont val="ＭＳ 明朝"/>
        <family val="1"/>
        <charset val="128"/>
      </rPr>
      <t>最大値差比</t>
    </r>
    <r>
      <rPr>
        <b/>
        <sz val="11"/>
        <color theme="1"/>
        <rFont val="Times New Roman"/>
        <family val="1"/>
      </rPr>
      <t xml:space="preserve"> </t>
    </r>
    <rPh sb="6" eb="7">
      <t>チ</t>
    </rPh>
    <rPh sb="7" eb="8">
      <t>サ</t>
    </rPh>
    <rPh sb="8" eb="9">
      <t>ヒ</t>
    </rPh>
    <phoneticPr fontId="2"/>
  </si>
  <si>
    <r>
      <rPr>
        <sz val="11"/>
        <color theme="1"/>
        <rFont val="ＭＳ 明朝"/>
        <family val="1"/>
        <charset val="128"/>
      </rPr>
      <t>最大値差比得点：横軸</t>
    </r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</si>
  <si>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最大値差比得点：縦軸</t>
    </r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</si>
  <si>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最大値差比得点：両軸</t>
    </r>
    <rPh sb="2" eb="3">
      <t>チ</t>
    </rPh>
    <rPh sb="3" eb="4">
      <t>サ</t>
    </rPh>
    <rPh sb="4" eb="5">
      <t>ヒ</t>
    </rPh>
    <phoneticPr fontId="1"/>
  </si>
  <si>
    <r>
      <rPr>
        <sz val="11"/>
        <color theme="1"/>
        <rFont val="ＭＳ 明朝"/>
        <family val="1"/>
        <charset val="128"/>
      </rPr>
      <t>最大値差比得点：全体</t>
    </r>
    <rPh sb="4" eb="5">
      <t>ヒ</t>
    </rPh>
    <phoneticPr fontId="1"/>
  </si>
  <si>
    <r>
      <rPr>
        <b/>
        <sz val="11"/>
        <color theme="1"/>
        <rFont val="ＭＳ Ｐゴシック"/>
        <family val="3"/>
        <charset val="128"/>
      </rPr>
      <t>期待値（実験）</t>
    </r>
    <rPh sb="4" eb="6">
      <t>ジッケン</t>
    </rPh>
    <phoneticPr fontId="2"/>
  </si>
  <si>
    <r>
      <rPr>
        <sz val="11"/>
        <color theme="1"/>
        <rFont val="ＭＳ Ｐ明朝"/>
        <family val="1"/>
        <charset val="128"/>
      </rPr>
      <t>実測値</t>
    </r>
    <rPh sb="0" eb="3">
      <t>ジッソクチ</t>
    </rPh>
    <phoneticPr fontId="2"/>
  </si>
  <si>
    <r>
      <rPr>
        <sz val="11"/>
        <color theme="1"/>
        <rFont val="ＭＳ Ｐゴシック"/>
        <family val="3"/>
        <charset val="128"/>
      </rPr>
      <t>和</t>
    </r>
    <rPh sb="0" eb="1">
      <t>ワ</t>
    </rPh>
    <phoneticPr fontId="4"/>
  </si>
  <si>
    <r>
      <rPr>
        <sz val="11"/>
        <color theme="1"/>
        <rFont val="ＭＳ Ｐゴシック"/>
        <family val="3"/>
        <charset val="128"/>
      </rPr>
      <t>期待値</t>
    </r>
    <phoneticPr fontId="2"/>
  </si>
  <si>
    <r>
      <rPr>
        <sz val="11"/>
        <color theme="1"/>
        <rFont val="ＭＳ Ｐ明朝"/>
        <family val="1"/>
        <charset val="128"/>
      </rPr>
      <t>最大期待値</t>
    </r>
    <rPh sb="0" eb="2">
      <t>サイダイ</t>
    </rPh>
    <rPh sb="2" eb="5">
      <t>キタイチ</t>
    </rPh>
    <phoneticPr fontId="4"/>
  </si>
  <si>
    <r>
      <rPr>
        <b/>
        <sz val="11"/>
        <color theme="1"/>
        <rFont val="ＭＳ Ｐ明朝"/>
        <family val="1"/>
        <charset val="128"/>
      </rPr>
      <t>期待得点</t>
    </r>
    <rPh sb="2" eb="4">
      <t>トクテン</t>
    </rPh>
    <phoneticPr fontId="2"/>
  </si>
  <si>
    <r>
      <rPr>
        <sz val="11"/>
        <color theme="1"/>
        <rFont val="ＭＳ Ｐ明朝"/>
        <family val="1"/>
        <charset val="128"/>
      </rPr>
      <t>和</t>
    </r>
    <rPh sb="0" eb="1">
      <t>ワ</t>
    </rPh>
    <phoneticPr fontId="4"/>
  </si>
  <si>
    <r>
      <rPr>
        <b/>
        <sz val="11"/>
        <color theme="1"/>
        <rFont val="ＭＳ Ｐ明朝"/>
        <family val="1"/>
        <charset val="128"/>
      </rPr>
      <t>期待値</t>
    </r>
    <rPh sb="2" eb="3">
      <t>チ</t>
    </rPh>
    <phoneticPr fontId="2"/>
  </si>
  <si>
    <r>
      <rPr>
        <sz val="11"/>
        <color theme="1"/>
        <rFont val="ＭＳ Ｐ明朝"/>
        <family val="1"/>
        <charset val="128"/>
      </rPr>
      <t>期待値差得点</t>
    </r>
    <rPh sb="3" eb="4">
      <t>サ</t>
    </rPh>
    <phoneticPr fontId="4"/>
  </si>
  <si>
    <r>
      <rPr>
        <sz val="11"/>
        <color theme="1"/>
        <rFont val="ＭＳ Ｐ明朝"/>
        <family val="1"/>
        <charset val="128"/>
      </rPr>
      <t>期待値差比得点</t>
    </r>
    <rPh sb="3" eb="4">
      <t>サ</t>
    </rPh>
    <rPh sb="4" eb="5">
      <t>ヒ</t>
    </rPh>
    <phoneticPr fontId="4"/>
  </si>
  <si>
    <r>
      <rPr>
        <sz val="11"/>
        <color theme="1"/>
        <rFont val="ＭＳ Ｐ明朝"/>
        <family val="1"/>
        <charset val="128"/>
      </rPr>
      <t>期待得点</t>
    </r>
    <rPh sb="0" eb="2">
      <t>キタイ</t>
    </rPh>
    <rPh sb="2" eb="4">
      <t>トクテン</t>
    </rPh>
    <phoneticPr fontId="4"/>
  </si>
  <si>
    <r>
      <rPr>
        <sz val="11"/>
        <rFont val="ＭＳ Ｐゴシック"/>
        <family val="3"/>
        <charset val="128"/>
      </rPr>
      <t>基準値</t>
    </r>
    <rPh sb="0" eb="2">
      <t>キジュン</t>
    </rPh>
    <rPh sb="2" eb="3">
      <t>アタイ</t>
    </rPh>
    <phoneticPr fontId="4"/>
  </si>
  <si>
    <r>
      <rPr>
        <sz val="11"/>
        <rFont val="ＭＳ Ｐゴシック"/>
        <family val="3"/>
        <charset val="128"/>
      </rPr>
      <t>和</t>
    </r>
    <rPh sb="0" eb="1">
      <t>ワ</t>
    </rPh>
    <phoneticPr fontId="4"/>
  </si>
  <si>
    <r>
      <rPr>
        <b/>
        <sz val="11"/>
        <rFont val="Century"/>
        <family val="1"/>
      </rPr>
      <t>類似係数</t>
    </r>
    <rPh sb="0" eb="2">
      <t>ルイジ</t>
    </rPh>
    <rPh sb="2" eb="4">
      <t>ケイスウ</t>
    </rPh>
    <phoneticPr fontId="4"/>
  </si>
  <si>
    <r>
      <rPr>
        <sz val="11"/>
        <rFont val="ＭＳ Ｐゴシック"/>
        <family val="3"/>
        <charset val="128"/>
      </rPr>
      <t>実験（１）</t>
    </r>
    <rPh sb="0" eb="2">
      <t>ジッケン</t>
    </rPh>
    <phoneticPr fontId="4"/>
  </si>
  <si>
    <r>
      <rPr>
        <sz val="11"/>
        <rFont val="ＭＳ Ｐゴシック"/>
        <family val="3"/>
        <charset val="128"/>
      </rPr>
      <t>実験（２）</t>
    </r>
    <rPh sb="0" eb="2">
      <t>ジッケン</t>
    </rPh>
    <phoneticPr fontId="4"/>
  </si>
  <si>
    <t>W.S.r.</t>
  </si>
  <si>
    <t>W.S.c.</t>
  </si>
  <si>
    <t>W.S.b.</t>
  </si>
  <si>
    <t>W.S.a</t>
  </si>
  <si>
    <t>W.S.</t>
    <phoneticPr fontId="2"/>
  </si>
  <si>
    <t>W.S.r</t>
    <phoneticPr fontId="2"/>
  </si>
  <si>
    <t>W.S.c.</t>
    <phoneticPr fontId="2"/>
  </si>
  <si>
    <t>W.S.m.</t>
    <phoneticPr fontId="2"/>
  </si>
  <si>
    <t>W.S.a.</t>
    <phoneticPr fontId="2"/>
  </si>
  <si>
    <t>L.S.</t>
    <phoneticPr fontId="2"/>
  </si>
  <si>
    <t>L.S.r.</t>
  </si>
  <si>
    <t>L.S.c.</t>
  </si>
  <si>
    <t>L.S.m.</t>
  </si>
  <si>
    <t>L.S.a.</t>
  </si>
  <si>
    <t>C.S.Mx.R.r.</t>
    <phoneticPr fontId="2"/>
  </si>
  <si>
    <t>C.S.Av.D.r.</t>
  </si>
  <si>
    <t>C.S.Av.D.c.</t>
  </si>
  <si>
    <t>C.S.Av.D.m.</t>
  </si>
  <si>
    <t>C.S.Av.D.a.</t>
  </si>
  <si>
    <t>Mn.r.</t>
    <phoneticPr fontId="4"/>
  </si>
  <si>
    <t>Mx.r.</t>
    <phoneticPr fontId="2"/>
  </si>
  <si>
    <t>Mn.c.</t>
    <phoneticPr fontId="2"/>
  </si>
  <si>
    <t>Mx.c</t>
    <phoneticPr fontId="2"/>
  </si>
  <si>
    <t>C.S.Av.R.r.</t>
  </si>
  <si>
    <t>C.S.Av.R.c.</t>
  </si>
  <si>
    <t>C.S.Av.R.m.</t>
  </si>
  <si>
    <t>C.S.Av.R.a.</t>
  </si>
  <si>
    <t>C.S.Av.Dr.r.</t>
    <phoneticPr fontId="2"/>
  </si>
  <si>
    <t>C.S.Av.Dr.m.</t>
    <phoneticPr fontId="2"/>
  </si>
  <si>
    <t>C.S.Av.Dr.c.</t>
    <phoneticPr fontId="2"/>
  </si>
  <si>
    <t>C.S.Av.Dr.a.</t>
    <phoneticPr fontId="2"/>
  </si>
  <si>
    <t>C.S.Md.D.r.</t>
  </si>
  <si>
    <t>C.S.Md.D.c.</t>
  </si>
  <si>
    <t>C.S.Md.D.m.</t>
  </si>
  <si>
    <t>C.S.Md.D.a.</t>
  </si>
  <si>
    <t>C.S.Md.R.r.</t>
  </si>
  <si>
    <t>C.S.Md.R.c.</t>
  </si>
  <si>
    <t>C.S.Md.R.m.</t>
  </si>
  <si>
    <t>C.S.Md.R.a.</t>
  </si>
  <si>
    <t>C.S.Md.Dr.r.</t>
  </si>
  <si>
    <t>C.S.Md.Dr.c.</t>
  </si>
  <si>
    <t>C.S.Md.Dr.m.</t>
  </si>
  <si>
    <t>C.S.Md.Dr.a.</t>
  </si>
  <si>
    <t>C.S.Ct.D.a.</t>
  </si>
  <si>
    <t>C.S.Ct.D.r.</t>
  </si>
  <si>
    <t>C.S.Ct.D.c.</t>
  </si>
  <si>
    <t>C.S.Ct.D.m.</t>
  </si>
  <si>
    <t>C.S.Ct.R.r.</t>
  </si>
  <si>
    <t>C.S.Ct.R.c.</t>
  </si>
  <si>
    <t>C.S.Ct.R.m.</t>
  </si>
  <si>
    <t>C.S.Ct.R.a.</t>
  </si>
  <si>
    <t>C.S.Ct.Dr.r.</t>
  </si>
  <si>
    <t>C.S.Ct.Dr.c.</t>
  </si>
  <si>
    <t>C.S.Ct.Dr.m.</t>
  </si>
  <si>
    <t>C.S.Ct.Dr.a.</t>
  </si>
  <si>
    <t>C.S.Mn.D.r.</t>
  </si>
  <si>
    <t>C.S.Mn.D.c.</t>
  </si>
  <si>
    <t>C.S.Mn.D.m.</t>
  </si>
  <si>
    <t>C.S.Mn.D.a.</t>
  </si>
  <si>
    <t>C.S.Mn.R.r.</t>
  </si>
  <si>
    <t>C.S.Mn.R.c.</t>
  </si>
  <si>
    <t>C.S.Mn.R.m.</t>
  </si>
  <si>
    <t>C.S.Mn.R.a.</t>
  </si>
  <si>
    <t>C.S.Mn.Dr.r.</t>
  </si>
  <si>
    <t>C.S.Mn.Dr.c.</t>
  </si>
  <si>
    <t>C.S.Mn.Dr.m.</t>
  </si>
  <si>
    <t>C.S.Mn.Dr.a.</t>
  </si>
  <si>
    <t>Div/0</t>
  </si>
  <si>
    <t>C.S.Mx.D.r.</t>
  </si>
  <si>
    <t>C.S.Mx.D.c.</t>
  </si>
  <si>
    <t>C.S.Mx.D.m.</t>
  </si>
  <si>
    <t>C.S.Mx.D.a.</t>
  </si>
  <si>
    <t>C.S.Mx.R.r.</t>
  </si>
  <si>
    <t>C.S.Mx.R.c.</t>
  </si>
  <si>
    <t>C.S.Mx.R.m.</t>
  </si>
  <si>
    <t>C.S.Mx.R.a.</t>
  </si>
  <si>
    <t>C.S.Mx.Dr.r.</t>
  </si>
  <si>
    <t>C.S.Mx.Dr.c.</t>
  </si>
  <si>
    <t>C.S.Mx.Dr.m.</t>
  </si>
  <si>
    <t>C.S.Mx.Dr.a.</t>
  </si>
  <si>
    <t>R.F.r.p</t>
  </si>
  <si>
    <t>R.F.c.p</t>
  </si>
  <si>
    <t>P.R.F.m.</t>
  </si>
  <si>
    <t>P.R.F.a.</t>
  </si>
  <si>
    <t>N.S.S.a.</t>
  </si>
  <si>
    <t>N.S.S.r.</t>
    <phoneticPr fontId="2"/>
  </si>
  <si>
    <t>N.S.S.c.</t>
    <phoneticPr fontId="2"/>
  </si>
  <si>
    <t>N.S.S.m.</t>
    <phoneticPr fontId="2"/>
  </si>
  <si>
    <t>S.S.r.</t>
  </si>
  <si>
    <t>S.S.c.</t>
  </si>
  <si>
    <t>S.S.b.</t>
  </si>
  <si>
    <t>S.S.a.</t>
  </si>
  <si>
    <t>E.F.</t>
  </si>
  <si>
    <t>期待値比得点</t>
    <rPh sb="3" eb="4">
      <t>ヒ</t>
    </rPh>
    <phoneticPr fontId="4"/>
  </si>
  <si>
    <t>E.S.</t>
  </si>
  <si>
    <t>E.S.+c</t>
  </si>
  <si>
    <t>C.E.S.D.</t>
  </si>
  <si>
    <t>C.E.S.R.</t>
  </si>
  <si>
    <t>C.E.S.Dr.</t>
  </si>
  <si>
    <t>D.R.S.a.</t>
  </si>
  <si>
    <t>D.R.S.c.</t>
  </si>
  <si>
    <t>D.R.S.m.</t>
  </si>
  <si>
    <t>A.R.S.r.</t>
  </si>
  <si>
    <t>A.R.S.c.</t>
  </si>
  <si>
    <t>A.R.S.m.</t>
  </si>
  <si>
    <t>A.R.S.a.</t>
  </si>
  <si>
    <t>逸脱得点：縦軸</t>
    <phoneticPr fontId="2"/>
  </si>
  <si>
    <t>D.S.c.</t>
  </si>
  <si>
    <t>D.S.r.</t>
  </si>
  <si>
    <t>D.S.m.</t>
  </si>
  <si>
    <t>D.S.a.</t>
  </si>
  <si>
    <t>D.S.b.</t>
  </si>
  <si>
    <t>L.S.r.+c</t>
  </si>
  <si>
    <t>類似得点</t>
    <rPh sb="0" eb="2">
      <t>ルイジ</t>
    </rPh>
    <rPh sb="2" eb="4">
      <t>トクテン</t>
    </rPh>
    <phoneticPr fontId="1"/>
  </si>
  <si>
    <t>A.S.</t>
    <phoneticPr fontId="2"/>
  </si>
  <si>
    <t>R.S.</t>
  </si>
  <si>
    <t>R.S.r.</t>
  </si>
  <si>
    <t>R.S.c</t>
  </si>
  <si>
    <t>R.S.b</t>
  </si>
  <si>
    <t>R.S.a.</t>
  </si>
  <si>
    <t>R.S.r.+c</t>
  </si>
  <si>
    <t>P.R.S.r.</t>
  </si>
  <si>
    <t>P.R.S.r.+c</t>
  </si>
  <si>
    <t>B</t>
    <phoneticPr fontId="2"/>
  </si>
  <si>
    <t>C</t>
    <phoneticPr fontId="2"/>
  </si>
  <si>
    <t>D</t>
    <phoneticPr fontId="2"/>
  </si>
  <si>
    <t>Hm.S.</t>
  </si>
  <si>
    <t>Yl.S.</t>
  </si>
  <si>
    <t>Ph.s.</t>
  </si>
  <si>
    <t>Oc.S.</t>
  </si>
  <si>
    <t>Pr.s.</t>
  </si>
  <si>
    <t>S.m.S.</t>
  </si>
  <si>
    <t>Jc.S.</t>
  </si>
  <si>
    <t>Jc2.S.</t>
  </si>
  <si>
    <t>R-R.S</t>
  </si>
  <si>
    <r>
      <rPr>
        <sz val="11"/>
        <color theme="1"/>
        <rFont val="a 明朝"/>
        <family val="3"/>
        <charset val="128"/>
      </rPr>
      <t>実測値</t>
    </r>
    <rPh sb="0" eb="3">
      <t>ジッソクチ</t>
    </rPh>
    <phoneticPr fontId="2"/>
  </si>
  <si>
    <t>M.S.Add</t>
  </si>
  <si>
    <t>O.S.</t>
    <phoneticPr fontId="2"/>
  </si>
  <si>
    <t>M.S.Log.</t>
  </si>
  <si>
    <t>P.S.m.S.</t>
  </si>
  <si>
    <t>R-R3.S</t>
    <phoneticPr fontId="2"/>
  </si>
  <si>
    <t>P.Jc.S.</t>
  </si>
  <si>
    <t>P.Jc2.S.</t>
  </si>
  <si>
    <t>P.R-R3.S</t>
  </si>
  <si>
    <r>
      <rPr>
        <sz val="11"/>
        <color theme="1"/>
        <rFont val="a 明朝"/>
        <family val="3"/>
        <charset val="128"/>
      </rPr>
      <t>実測値</t>
    </r>
    <r>
      <rPr>
        <sz val="11"/>
        <color theme="1"/>
        <rFont val="Times New Roman"/>
        <family val="1"/>
      </rPr>
      <t>(A)</t>
    </r>
    <rPh sb="0" eb="3">
      <t>ジッソクチ</t>
    </rPh>
    <phoneticPr fontId="2"/>
  </si>
  <si>
    <r>
      <rPr>
        <sz val="11"/>
        <color theme="1"/>
        <rFont val="a 明朝"/>
        <family val="3"/>
        <charset val="128"/>
      </rPr>
      <t>単純一致得点</t>
    </r>
    <rPh sb="0" eb="2">
      <t>タンジュン</t>
    </rPh>
    <rPh sb="2" eb="4">
      <t>イッチ</t>
    </rPh>
    <rPh sb="4" eb="6">
      <t>トクテン</t>
    </rPh>
    <phoneticPr fontId="2"/>
  </si>
  <si>
    <r>
      <t>Jaccard</t>
    </r>
    <r>
      <rPr>
        <sz val="11"/>
        <color theme="1"/>
        <rFont val="a 明朝"/>
        <family val="3"/>
        <charset val="128"/>
      </rPr>
      <t>得点</t>
    </r>
    <rPh sb="7" eb="9">
      <t>トクテン</t>
    </rPh>
    <phoneticPr fontId="2"/>
  </si>
  <si>
    <r>
      <t>Jaccard-2</t>
    </r>
    <r>
      <rPr>
        <sz val="11"/>
        <color theme="1"/>
        <rFont val="a 明朝"/>
        <family val="3"/>
        <charset val="128"/>
      </rPr>
      <t>得点</t>
    </r>
    <rPh sb="9" eb="11">
      <t>トクテン</t>
    </rPh>
    <phoneticPr fontId="2"/>
  </si>
  <si>
    <r>
      <t>Russel-Rao</t>
    </r>
    <r>
      <rPr>
        <sz val="11"/>
        <color theme="1"/>
        <rFont val="a 明朝"/>
        <family val="3"/>
        <charset val="128"/>
      </rPr>
      <t>得点</t>
    </r>
    <rPh sb="10" eb="12">
      <t>トクテン</t>
    </rPh>
    <phoneticPr fontId="2"/>
  </si>
  <si>
    <r>
      <t>Russel-Rao-3</t>
    </r>
    <r>
      <rPr>
        <sz val="11"/>
        <color theme="1"/>
        <rFont val="a 明朝"/>
        <family val="3"/>
        <charset val="128"/>
      </rPr>
      <t>得点</t>
    </r>
    <rPh sb="12" eb="14">
      <t>トクテン</t>
    </rPh>
    <phoneticPr fontId="2"/>
  </si>
  <si>
    <r>
      <t>Hamann</t>
    </r>
    <r>
      <rPr>
        <sz val="11"/>
        <color theme="1"/>
        <rFont val="a 明朝"/>
        <family val="3"/>
        <charset val="128"/>
      </rPr>
      <t>得点</t>
    </r>
    <rPh sb="6" eb="8">
      <t>トクテン</t>
    </rPh>
    <phoneticPr fontId="2"/>
  </si>
  <si>
    <r>
      <t>Yule</t>
    </r>
    <r>
      <rPr>
        <sz val="11"/>
        <color theme="1"/>
        <rFont val="a 明朝"/>
        <family val="3"/>
        <charset val="128"/>
      </rPr>
      <t>得点</t>
    </r>
    <rPh sb="4" eb="6">
      <t>トクテン</t>
    </rPh>
    <phoneticPr fontId="2"/>
  </si>
  <si>
    <r>
      <t>Phi</t>
    </r>
    <r>
      <rPr>
        <sz val="11"/>
        <color theme="1"/>
        <rFont val="a 明朝"/>
        <family val="3"/>
        <charset val="128"/>
      </rPr>
      <t>得点</t>
    </r>
    <rPh sb="3" eb="5">
      <t>トクテン</t>
    </rPh>
    <phoneticPr fontId="2"/>
  </si>
  <si>
    <r>
      <t>Ochiai</t>
    </r>
    <r>
      <rPr>
        <sz val="11"/>
        <color theme="1"/>
        <rFont val="a 明朝"/>
        <family val="3"/>
        <charset val="128"/>
      </rPr>
      <t>得点</t>
    </r>
    <rPh sb="6" eb="8">
      <t>トクテン</t>
    </rPh>
    <phoneticPr fontId="2"/>
  </si>
  <si>
    <r>
      <t>Preference</t>
    </r>
    <r>
      <rPr>
        <sz val="11"/>
        <color theme="1"/>
        <rFont val="a 明朝"/>
        <family val="3"/>
        <charset val="128"/>
      </rPr>
      <t>得点</t>
    </r>
    <rPh sb="10" eb="12">
      <t>トクテン</t>
    </rPh>
    <phoneticPr fontId="2"/>
  </si>
  <si>
    <t>P.Hm.S.</t>
  </si>
  <si>
    <t>P.Yl.S.</t>
  </si>
  <si>
    <t>P.Ph.s.</t>
  </si>
  <si>
    <t>P.Oc.S.</t>
  </si>
  <si>
    <t>P.Pr.s.</t>
  </si>
  <si>
    <t>b (+/-)</t>
    <phoneticPr fontId="2"/>
  </si>
  <si>
    <t>c (-/+)</t>
    <phoneticPr fontId="2"/>
  </si>
  <si>
    <t>Co-occurrence (a+/+)</t>
    <phoneticPr fontId="2"/>
  </si>
  <si>
    <t>d (-/-)</t>
    <phoneticPr fontId="2"/>
  </si>
  <si>
    <t>a) Simple match
= (a+d)/(a+b+c+d)</t>
    <phoneticPr fontId="2"/>
  </si>
  <si>
    <t xml:space="preserve">b) Russel and Rao 
= a/(a+b+c+d) </t>
    <phoneticPr fontId="2"/>
  </si>
  <si>
    <t>c) Jaccard
=a/(a+b+c)</t>
    <phoneticPr fontId="2"/>
  </si>
  <si>
    <t>d) Dice
=2a/(2a+b+c)</t>
    <phoneticPr fontId="2"/>
  </si>
  <si>
    <t>e) Yule
=(ad-bc)/(ad+bc)</t>
    <phoneticPr fontId="2"/>
  </si>
  <si>
    <t>g) Phi
=(ad-bc) /sqr[(a+b)(c+d)(a+c)(b+d)]</t>
    <phoneticPr fontId="2"/>
  </si>
  <si>
    <t>f) Hamann
=[(a+d)-(b+c)]/[(a+d)+(b+c)]</t>
    <phoneticPr fontId="2"/>
  </si>
  <si>
    <t>h) Ochiai
=a/sqr[(a+b)(a+c)]</t>
    <phoneticPr fontId="2"/>
  </si>
  <si>
    <t>i) Preference
=[2a-(b+c)]/[2a+(b+c)]</t>
    <phoneticPr fontId="2"/>
  </si>
  <si>
    <t>(ad - bc) / (ad + bc)</t>
    <phoneticPr fontId="2"/>
  </si>
  <si>
    <t>(a^2 - bc) / (a^2 + bc)</t>
    <phoneticPr fontId="2"/>
  </si>
  <si>
    <t>ad / (ad + bc)</t>
    <phoneticPr fontId="2"/>
  </si>
  <si>
    <t>a^2 / (a^2 + bc)</t>
    <phoneticPr fontId="2"/>
  </si>
  <si>
    <r>
      <t xml:space="preserve">[a - 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 xml:space="preserve">(bc)] / [a + 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>(bc)]</t>
    </r>
    <phoneticPr fontId="2"/>
  </si>
  <si>
    <r>
      <t xml:space="preserve">a / [a + 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>(bc)]</t>
    </r>
    <phoneticPr fontId="2"/>
  </si>
  <si>
    <t>(a+d-b-c) / (a+b+c+d)</t>
    <phoneticPr fontId="2"/>
  </si>
  <si>
    <t>(a+d) / (a+b+c+d)</t>
    <phoneticPr fontId="2"/>
  </si>
  <si>
    <t>2a / (2a+b+c)</t>
    <phoneticPr fontId="2"/>
  </si>
  <si>
    <t>a / (a+b+c+d)</t>
    <phoneticPr fontId="2"/>
  </si>
  <si>
    <t>3a / (3a+b+c+d)</t>
    <phoneticPr fontId="2"/>
  </si>
  <si>
    <t>Correlational association</t>
    <phoneticPr fontId="2"/>
  </si>
  <si>
    <r>
      <t xml:space="preserve">a / 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[(a+b)(a+c)]</t>
    </r>
    <phoneticPr fontId="2"/>
  </si>
  <si>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[ad / (ad + bc)]</t>
    </r>
    <phoneticPr fontId="2"/>
  </si>
  <si>
    <r>
      <t xml:space="preserve">a / 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(a^2 + bc)</t>
    </r>
    <phoneticPr fontId="2"/>
  </si>
  <si>
    <r>
      <t xml:space="preserve">Sign(ad - bc)* 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[|ad - bc| / (ad + bc)]</t>
    </r>
    <phoneticPr fontId="2"/>
  </si>
  <si>
    <r>
      <t>Sign(a^2 - bc)*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[|a^2 - bc| / (a^2 + bc)]</t>
    </r>
    <phoneticPr fontId="2"/>
  </si>
  <si>
    <r>
      <t>Sign(ad - bc)*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 xml:space="preserve">{|ad - bc| 
/ 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[(a+b)(c+d)(a+c)(b+d)]}</t>
    </r>
    <phoneticPr fontId="2"/>
  </si>
  <si>
    <r>
      <t>[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 xml:space="preserve">(ad) - 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 xml:space="preserve">(bc)] 
/ </t>
    </r>
    <r>
      <rPr>
        <sz val="11"/>
        <rFont val="ＭＳ Ｐゴシック"/>
        <family val="3"/>
        <charset val="128"/>
      </rPr>
      <t>√√</t>
    </r>
    <r>
      <rPr>
        <sz val="11"/>
        <rFont val="Times New Roman"/>
        <family val="1"/>
      </rPr>
      <t>[(a+b)(c+d)(a+c)(b+d)]</t>
    </r>
    <phoneticPr fontId="2"/>
  </si>
  <si>
    <t>a / (a+b+c)</t>
    <phoneticPr fontId="2"/>
  </si>
  <si>
    <t>(a-b-c) / (a+b+c)</t>
    <phoneticPr fontId="2"/>
  </si>
  <si>
    <t>(2a-b-c) / (2a+b+c)</t>
    <phoneticPr fontId="2"/>
  </si>
  <si>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>(ad) / [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 xml:space="preserve">(ad) + 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>(bc)]</t>
    </r>
    <phoneticPr fontId="2"/>
  </si>
  <si>
    <r>
      <t>[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 xml:space="preserve">(ad)  - 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>(bc)] / [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 xml:space="preserve">(ad) + </t>
    </r>
    <r>
      <rPr>
        <sz val="11"/>
        <rFont val="ＭＳ Ｐ明朝"/>
        <family val="1"/>
        <charset val="128"/>
      </rPr>
      <t>√</t>
    </r>
    <r>
      <rPr>
        <sz val="11"/>
        <rFont val="Times New Roman"/>
        <family val="1"/>
      </rPr>
      <t>(bc)]</t>
    </r>
    <phoneticPr fontId="2"/>
  </si>
  <si>
    <r>
      <t xml:space="preserve">(ad - bc) / </t>
    </r>
    <r>
      <rPr>
        <sz val="11"/>
        <rFont val="ＭＳ Ｐゴシック"/>
        <family val="3"/>
        <charset val="128"/>
      </rPr>
      <t>√</t>
    </r>
    <r>
      <rPr>
        <sz val="11"/>
        <rFont val="Times New Roman"/>
        <family val="1"/>
      </rPr>
      <t>[(a+b)(c+d)(a+c)(b+d)]</t>
    </r>
    <phoneticPr fontId="2"/>
  </si>
  <si>
    <t>Multiplicative association (1)</t>
    <phoneticPr fontId="2"/>
  </si>
  <si>
    <t>Multiplicative association (2)</t>
    <phoneticPr fontId="2"/>
  </si>
  <si>
    <t>[1] Additive association</t>
    <phoneticPr fontId="4"/>
  </si>
  <si>
    <r>
      <rPr>
        <sz val="11"/>
        <rFont val="ＭＳ Ｐゴシック"/>
        <family val="3"/>
        <charset val="128"/>
      </rPr>
      <t>カイ二乗検定</t>
    </r>
    <rPh sb="2" eb="4">
      <t>ニジョウ</t>
    </rPh>
    <rPh sb="4" eb="6">
      <t>ケンテイ</t>
    </rPh>
    <phoneticPr fontId="4"/>
  </si>
  <si>
    <r>
      <rPr>
        <sz val="11"/>
        <rFont val="ＭＳ Ｐゴシック"/>
        <family val="3"/>
        <charset val="128"/>
      </rPr>
      <t>有意水準</t>
    </r>
    <rPh sb="0" eb="2">
      <t>ユウイ</t>
    </rPh>
    <rPh sb="2" eb="4">
      <t>スイジュン</t>
    </rPh>
    <phoneticPr fontId="4"/>
  </si>
  <si>
    <r>
      <rPr>
        <sz val="11"/>
        <rFont val="ＭＳ Ｐゴシック"/>
        <family val="3"/>
        <charset val="128"/>
      </rPr>
      <t>自由度</t>
    </r>
    <rPh sb="0" eb="3">
      <t>ジユウド</t>
    </rPh>
    <phoneticPr fontId="4"/>
  </si>
  <si>
    <r>
      <rPr>
        <sz val="11"/>
        <rFont val="ＭＳ Ｐゴシック"/>
        <family val="3"/>
        <charset val="128"/>
      </rPr>
      <t>限界値</t>
    </r>
    <rPh sb="0" eb="3">
      <t>ゲンカイチ</t>
    </rPh>
    <phoneticPr fontId="4"/>
  </si>
  <si>
    <r>
      <rPr>
        <sz val="12"/>
        <color theme="1"/>
        <rFont val="Times New Roman"/>
        <family val="2"/>
        <charset val="128"/>
      </rPr>
      <t>実測値</t>
    </r>
    <rPh sb="0" eb="3">
      <t>ジッソクチ</t>
    </rPh>
    <phoneticPr fontId="4"/>
  </si>
  <si>
    <r>
      <rPr>
        <sz val="12"/>
        <color theme="1"/>
        <rFont val="Times New Roman"/>
        <family val="2"/>
        <charset val="128"/>
      </rPr>
      <t>効果がある</t>
    </r>
    <rPh sb="0" eb="2">
      <t>コウカ</t>
    </rPh>
    <phoneticPr fontId="4"/>
  </si>
  <si>
    <r>
      <rPr>
        <sz val="12"/>
        <color theme="1"/>
        <rFont val="Times New Roman"/>
        <family val="2"/>
        <charset val="128"/>
      </rPr>
      <t>効果がない</t>
    </r>
    <rPh sb="0" eb="2">
      <t>コウカ</t>
    </rPh>
    <phoneticPr fontId="4"/>
  </si>
  <si>
    <r>
      <rPr>
        <sz val="11"/>
        <rFont val="ＭＳ Ｐゴシック"/>
        <family val="3"/>
        <charset val="128"/>
      </rPr>
      <t>計</t>
    </r>
    <phoneticPr fontId="4"/>
  </si>
  <si>
    <r>
      <rPr>
        <sz val="12"/>
        <color theme="1"/>
        <rFont val="Times New Roman"/>
        <family val="2"/>
        <charset val="128"/>
      </rPr>
      <t>方法</t>
    </r>
    <r>
      <rPr>
        <sz val="11"/>
        <rFont val="Century"/>
        <family val="1"/>
      </rPr>
      <t>A</t>
    </r>
    <rPh sb="0" eb="2">
      <t>ホウホウ</t>
    </rPh>
    <phoneticPr fontId="4"/>
  </si>
  <si>
    <r>
      <rPr>
        <sz val="12"/>
        <color theme="1"/>
        <rFont val="Times New Roman"/>
        <family val="2"/>
        <charset val="128"/>
      </rPr>
      <t>方法</t>
    </r>
    <r>
      <rPr>
        <sz val="11"/>
        <rFont val="Century"/>
        <family val="1"/>
      </rPr>
      <t>B</t>
    </r>
    <rPh sb="0" eb="2">
      <t>ホウホウ</t>
    </rPh>
    <phoneticPr fontId="4"/>
  </si>
  <si>
    <r>
      <rPr>
        <sz val="11"/>
        <rFont val="ＭＳ Ｐゴシック"/>
        <family val="3"/>
        <charset val="128"/>
      </rPr>
      <t>計</t>
    </r>
    <phoneticPr fontId="4"/>
  </si>
  <si>
    <r>
      <rPr>
        <sz val="11"/>
        <rFont val="ＭＳ Ｐゴシック"/>
        <family val="3"/>
        <charset val="128"/>
      </rPr>
      <t>期待値</t>
    </r>
    <rPh sb="0" eb="2">
      <t>キタイ</t>
    </rPh>
    <rPh sb="2" eb="3">
      <t>アタイ</t>
    </rPh>
    <phoneticPr fontId="4"/>
  </si>
  <si>
    <r>
      <rPr>
        <sz val="11"/>
        <rFont val="ＭＳ Ｐゴシック"/>
        <family val="3"/>
        <charset val="128"/>
      </rPr>
      <t>標準化</t>
    </r>
    <rPh sb="0" eb="3">
      <t>ヒョウジュンカ</t>
    </rPh>
    <phoneticPr fontId="4"/>
  </si>
  <si>
    <r>
      <rPr>
        <sz val="11"/>
        <rFont val="ＭＳ Ｐ明朝"/>
        <family val="1"/>
        <charset val="128"/>
      </rPr>
      <t>蓋然性</t>
    </r>
    <r>
      <rPr>
        <sz val="11"/>
        <rFont val="Century"/>
        <family val="1"/>
      </rPr>
      <t>=</t>
    </r>
    <rPh sb="0" eb="3">
      <t>ガイゼンセイ</t>
    </rPh>
    <phoneticPr fontId="4"/>
  </si>
  <si>
    <r>
      <t>Yate</t>
    </r>
    <r>
      <rPr>
        <sz val="11"/>
        <rFont val="ＭＳ Ｐゴシック"/>
        <family val="3"/>
        <charset val="128"/>
      </rPr>
      <t>補正</t>
    </r>
    <r>
      <rPr>
        <sz val="11"/>
        <rFont val="Century"/>
        <family val="1"/>
      </rPr>
      <t>=</t>
    </r>
    <rPh sb="4" eb="6">
      <t>ホセイ</t>
    </rPh>
    <phoneticPr fontId="4"/>
  </si>
  <si>
    <r>
      <rPr>
        <sz val="11"/>
        <rFont val="ＭＳ Ｐゴシック"/>
        <family val="3"/>
        <charset val="128"/>
      </rPr>
      <t>カイ二乗検定（実験）</t>
    </r>
    <rPh sb="2" eb="4">
      <t>ニジョウ</t>
    </rPh>
    <rPh sb="4" eb="6">
      <t>ケンテイ</t>
    </rPh>
    <rPh sb="7" eb="9">
      <t>ジッケン</t>
    </rPh>
    <phoneticPr fontId="4"/>
  </si>
  <si>
    <r>
      <rPr>
        <sz val="12"/>
        <color theme="1"/>
        <rFont val="Times New Roman"/>
        <family val="2"/>
        <charset val="128"/>
      </rPr>
      <t>自由度</t>
    </r>
    <rPh sb="0" eb="3">
      <t>ジユウド</t>
    </rPh>
    <phoneticPr fontId="4"/>
  </si>
  <si>
    <r>
      <rPr>
        <sz val="12"/>
        <color theme="1"/>
        <rFont val="Times New Roman"/>
        <family val="2"/>
        <charset val="128"/>
      </rPr>
      <t>確率</t>
    </r>
    <rPh sb="0" eb="2">
      <t>カクリツ</t>
    </rPh>
    <phoneticPr fontId="4"/>
  </si>
  <si>
    <t>関数</t>
    <rPh sb="0" eb="2">
      <t>カンスウ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</si>
</sst>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0_);[Red]\(0\)"/>
    <numFmt numFmtId="177" formatCode="0.00_);[Red]\(0.00\)"/>
    <numFmt numFmtId="178" formatCode="0.00_ "/>
    <numFmt numFmtId="179" formatCode="0.00_ ;[Red]\-0.00\ "/>
    <numFmt numFmtId="180" formatCode="0.000_ ;[Red]\-0.000\ "/>
    <numFmt numFmtId="181" formatCode="0\ \ \ \ \ "/>
    <numFmt numFmtId="182" formatCode="0.000_ "/>
    <numFmt numFmtId="183" formatCode="0_ "/>
    <numFmt numFmtId="184" formatCode="0.000_);[Red]\(0.000\)"/>
    <numFmt numFmtId="185" formatCode="0.000"/>
    <numFmt numFmtId="186" formatCode="0_ ;[Red]\-0\ "/>
    <numFmt numFmtId="187" formatCode="0.0000"/>
    <numFmt numFmtId="188" formatCode="0.0000_);[Red]\(0.0000\)"/>
    <numFmt numFmtId="189" formatCode=".00"/>
    <numFmt numFmtId="190" formatCode=".00_ ;[Red]\-.00\ "/>
    <numFmt numFmtId="191" formatCode="\ .00"/>
    <numFmt numFmtId="192" formatCode="0.0_);[Red]\(0.0\)"/>
    <numFmt numFmtId="193" formatCode="0.0"/>
    <numFmt numFmtId="194" formatCode=".000_ ;[Red]\-.000\ "/>
  </numFmts>
  <fonts count="28">
    <font>
      <sz val="12"/>
      <color theme="1"/>
      <name val="Times New Roman"/>
      <family val="2"/>
      <charset val="128"/>
    </font>
    <font>
      <sz val="12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Century"/>
      <family val="1"/>
    </font>
    <font>
      <sz val="11"/>
      <name val="Century"/>
      <family val="1"/>
    </font>
    <font>
      <b/>
      <sz val="11"/>
      <name val="ＭＳ Ｐ明朝"/>
      <family val="1"/>
      <charset val="128"/>
    </font>
    <font>
      <b/>
      <sz val="11"/>
      <name val="Times New Roman"/>
      <family val="1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2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Times New Roman"/>
      <family val="2"/>
      <charset val="128"/>
    </font>
    <font>
      <b/>
      <sz val="11"/>
      <color theme="1"/>
      <name val="Times New Roman"/>
      <family val="1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a 明朝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</cellStyleXfs>
  <cellXfs count="437">
    <xf numFmtId="0" fontId="0" fillId="0" borderId="0" xfId="0">
      <alignment vertical="center"/>
    </xf>
    <xf numFmtId="0" fontId="3" fillId="2" borderId="0" xfId="0" applyFont="1" applyFill="1">
      <alignment vertical="center"/>
    </xf>
    <xf numFmtId="180" fontId="3" fillId="2" borderId="0" xfId="0" applyNumberFormat="1" applyFont="1" applyFill="1">
      <alignment vertical="center"/>
    </xf>
    <xf numFmtId="0" fontId="3" fillId="0" borderId="0" xfId="0" applyFont="1">
      <alignment vertical="center"/>
    </xf>
    <xf numFmtId="181" fontId="3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0" fontId="3" fillId="3" borderId="0" xfId="0" applyFont="1" applyFill="1">
      <alignment vertical="center"/>
    </xf>
    <xf numFmtId="182" fontId="3" fillId="4" borderId="0" xfId="0" applyNumberFormat="1" applyFont="1" applyFill="1">
      <alignment vertical="center"/>
    </xf>
    <xf numFmtId="0" fontId="5" fillId="0" borderId="0" xfId="1" applyFont="1">
      <alignment vertical="center"/>
    </xf>
    <xf numFmtId="0" fontId="7" fillId="0" borderId="0" xfId="1">
      <alignment vertical="center"/>
    </xf>
    <xf numFmtId="0" fontId="9" fillId="0" borderId="0" xfId="1" applyFont="1" applyFill="1" applyBorder="1">
      <alignment vertical="center"/>
    </xf>
    <xf numFmtId="0" fontId="9" fillId="9" borderId="0" xfId="1" applyFont="1" applyFill="1" applyBorder="1" applyProtection="1">
      <alignment vertical="center"/>
      <protection locked="0"/>
    </xf>
    <xf numFmtId="182" fontId="9" fillId="0" borderId="0" xfId="1" applyNumberFormat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Border="1">
      <alignment vertical="center"/>
    </xf>
    <xf numFmtId="181" fontId="9" fillId="9" borderId="0" xfId="1" applyNumberFormat="1" applyFont="1" applyFill="1" applyBorder="1">
      <alignment vertical="center"/>
    </xf>
    <xf numFmtId="184" fontId="9" fillId="0" borderId="0" xfId="1" applyNumberFormat="1" applyFont="1" applyBorder="1">
      <alignment vertical="center"/>
    </xf>
    <xf numFmtId="182" fontId="9" fillId="0" borderId="0" xfId="1" applyNumberFormat="1" applyFont="1">
      <alignment vertical="center"/>
    </xf>
    <xf numFmtId="178" fontId="9" fillId="9" borderId="0" xfId="1" applyNumberFormat="1" applyFont="1" applyFill="1" applyBorder="1" applyProtection="1">
      <alignment vertical="center"/>
      <protection locked="0"/>
    </xf>
    <xf numFmtId="0" fontId="3" fillId="0" borderId="0" xfId="1" applyFont="1">
      <alignment vertical="center"/>
    </xf>
    <xf numFmtId="0" fontId="3" fillId="0" borderId="0" xfId="1" applyFont="1" applyAlignment="1">
      <alignment horizontal="justify" vertical="center"/>
    </xf>
    <xf numFmtId="183" fontId="3" fillId="0" borderId="0" xfId="1" applyNumberFormat="1" applyFont="1" applyAlignment="1">
      <alignment horizontal="justify" vertical="center"/>
    </xf>
    <xf numFmtId="183" fontId="3" fillId="0" borderId="0" xfId="1" applyNumberFormat="1" applyFont="1" applyAlignment="1">
      <alignment horizontal="right" vertical="center"/>
    </xf>
    <xf numFmtId="186" fontId="3" fillId="0" borderId="0" xfId="0" applyNumberFormat="1" applyFont="1" applyBorder="1">
      <alignment vertical="center"/>
    </xf>
    <xf numFmtId="0" fontId="3" fillId="0" borderId="0" xfId="1" applyFont="1" applyBorder="1">
      <alignment vertical="center"/>
    </xf>
    <xf numFmtId="185" fontId="3" fillId="0" borderId="0" xfId="2" applyNumberFormat="1" applyFont="1" applyBorder="1"/>
    <xf numFmtId="182" fontId="3" fillId="9" borderId="0" xfId="1" applyNumberFormat="1" applyFont="1" applyFill="1" applyBorder="1">
      <alignment vertical="center"/>
    </xf>
    <xf numFmtId="183" fontId="3" fillId="9" borderId="0" xfId="1" applyNumberFormat="1" applyFont="1" applyFill="1" applyBorder="1">
      <alignment vertical="center"/>
    </xf>
    <xf numFmtId="0" fontId="14" fillId="0" borderId="0" xfId="0" applyFo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8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right" vertical="center"/>
    </xf>
    <xf numFmtId="2" fontId="16" fillId="0" borderId="3" xfId="0" applyNumberFormat="1" applyFont="1" applyBorder="1" applyAlignment="1">
      <alignment horizontal="right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Border="1" applyAlignment="1">
      <alignment horizontal="right" vertical="center"/>
    </xf>
    <xf numFmtId="2" fontId="16" fillId="0" borderId="6" xfId="0" applyNumberFormat="1" applyFont="1" applyBorder="1" applyAlignment="1">
      <alignment horizontal="right" vertical="center"/>
    </xf>
    <xf numFmtId="2" fontId="16" fillId="0" borderId="7" xfId="0" applyNumberFormat="1" applyFont="1" applyBorder="1" applyAlignment="1">
      <alignment horizontal="right" vertical="center"/>
    </xf>
    <xf numFmtId="2" fontId="16" fillId="0" borderId="8" xfId="0" applyNumberFormat="1" applyFont="1" applyBorder="1" applyAlignment="1">
      <alignment horizontal="right" vertical="center"/>
    </xf>
    <xf numFmtId="2" fontId="16" fillId="0" borderId="9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2" fillId="0" borderId="0" xfId="0" applyNumberFormat="1" applyFont="1" applyFill="1" applyBorder="1" applyAlignment="1">
      <alignment horizontal="right" vertical="center"/>
    </xf>
    <xf numFmtId="186" fontId="12" fillId="0" borderId="0" xfId="0" applyNumberFormat="1" applyFont="1" applyBorder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49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2" fontId="19" fillId="0" borderId="0" xfId="0" applyNumberFormat="1" applyFont="1">
      <alignment vertical="center"/>
    </xf>
    <xf numFmtId="2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 wrapText="1"/>
    </xf>
    <xf numFmtId="183" fontId="12" fillId="0" borderId="2" xfId="0" applyNumberFormat="1" applyFont="1" applyBorder="1" applyAlignment="1">
      <alignment horizontal="right" vertical="center"/>
    </xf>
    <xf numFmtId="183" fontId="12" fillId="0" borderId="3" xfId="0" applyNumberFormat="1" applyFont="1" applyBorder="1" applyAlignment="1">
      <alignment horizontal="right" vertical="center"/>
    </xf>
    <xf numFmtId="183" fontId="12" fillId="0" borderId="4" xfId="0" applyNumberFormat="1" applyFont="1" applyBorder="1" applyAlignment="1">
      <alignment horizontal="right" vertical="center"/>
    </xf>
    <xf numFmtId="183" fontId="12" fillId="0" borderId="5" xfId="0" applyNumberFormat="1" applyFont="1" applyBorder="1" applyAlignment="1">
      <alignment horizontal="right" vertical="center"/>
    </xf>
    <xf numFmtId="183" fontId="12" fillId="0" borderId="0" xfId="0" applyNumberFormat="1" applyFont="1" applyBorder="1" applyAlignment="1">
      <alignment horizontal="right" vertical="center"/>
    </xf>
    <xf numFmtId="183" fontId="12" fillId="0" borderId="6" xfId="0" applyNumberFormat="1" applyFont="1" applyBorder="1" applyAlignment="1">
      <alignment horizontal="right" vertical="center"/>
    </xf>
    <xf numFmtId="49" fontId="19" fillId="0" borderId="7" xfId="0" applyNumberFormat="1" applyFont="1" applyBorder="1" applyAlignment="1">
      <alignment horizontal="center" vertical="center" wrapText="1"/>
    </xf>
    <xf numFmtId="183" fontId="12" fillId="0" borderId="7" xfId="0" applyNumberFormat="1" applyFont="1" applyBorder="1" applyAlignment="1">
      <alignment horizontal="right" vertical="center"/>
    </xf>
    <xf numFmtId="183" fontId="12" fillId="0" borderId="8" xfId="0" applyNumberFormat="1" applyFont="1" applyBorder="1" applyAlignment="1">
      <alignment horizontal="right" vertical="center"/>
    </xf>
    <xf numFmtId="183" fontId="12" fillId="0" borderId="9" xfId="0" applyNumberFormat="1" applyFont="1" applyBorder="1" applyAlignment="1">
      <alignment horizontal="right" vertical="center"/>
    </xf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183" fontId="3" fillId="0" borderId="2" xfId="0" applyNumberFormat="1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right" vertical="center"/>
    </xf>
    <xf numFmtId="183" fontId="3" fillId="0" borderId="4" xfId="0" applyNumberFormat="1" applyFont="1" applyBorder="1" applyAlignment="1">
      <alignment horizontal="right" vertical="center"/>
    </xf>
    <xf numFmtId="1" fontId="14" fillId="0" borderId="0" xfId="0" applyNumberFormat="1" applyFont="1">
      <alignment vertical="center"/>
    </xf>
    <xf numFmtId="183" fontId="3" fillId="0" borderId="5" xfId="0" applyNumberFormat="1" applyFont="1" applyBorder="1" applyAlignment="1">
      <alignment horizontal="right" vertical="center"/>
    </xf>
    <xf numFmtId="183" fontId="3" fillId="0" borderId="0" xfId="0" applyNumberFormat="1" applyFont="1" applyBorder="1" applyAlignment="1">
      <alignment horizontal="right" vertical="center"/>
    </xf>
    <xf numFmtId="183" fontId="3" fillId="0" borderId="6" xfId="0" applyNumberFormat="1" applyFont="1" applyBorder="1" applyAlignment="1">
      <alignment horizontal="right" vertical="center"/>
    </xf>
    <xf numFmtId="183" fontId="3" fillId="0" borderId="7" xfId="0" applyNumberFormat="1" applyFont="1" applyBorder="1" applyAlignment="1">
      <alignment horizontal="right" vertical="center"/>
    </xf>
    <xf numFmtId="183" fontId="3" fillId="0" borderId="8" xfId="0" applyNumberFormat="1" applyFont="1" applyBorder="1" applyAlignment="1">
      <alignment horizontal="right" vertical="center"/>
    </xf>
    <xf numFmtId="183" fontId="3" fillId="0" borderId="9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90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90" fontId="3" fillId="0" borderId="2" xfId="0" applyNumberFormat="1" applyFont="1" applyBorder="1">
      <alignment vertical="center"/>
    </xf>
    <xf numFmtId="190" fontId="3" fillId="0" borderId="3" xfId="0" applyNumberFormat="1" applyFont="1" applyBorder="1">
      <alignment vertical="center"/>
    </xf>
    <xf numFmtId="190" fontId="3" fillId="0" borderId="4" xfId="0" applyNumberFormat="1" applyFont="1" applyBorder="1">
      <alignment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right" vertical="center"/>
    </xf>
    <xf numFmtId="2" fontId="14" fillId="0" borderId="3" xfId="0" applyNumberFormat="1" applyFont="1" applyBorder="1" applyAlignment="1">
      <alignment horizontal="right" vertical="center"/>
    </xf>
    <xf numFmtId="2" fontId="14" fillId="0" borderId="4" xfId="0" applyNumberFormat="1" applyFont="1" applyBorder="1" applyAlignment="1">
      <alignment horizontal="right" vertical="center"/>
    </xf>
    <xf numFmtId="190" fontId="3" fillId="0" borderId="5" xfId="0" applyNumberFormat="1" applyFont="1" applyBorder="1">
      <alignment vertical="center"/>
    </xf>
    <xf numFmtId="190" fontId="3" fillId="0" borderId="6" xfId="0" applyNumberFormat="1" applyFont="1" applyBorder="1">
      <alignment vertical="center"/>
    </xf>
    <xf numFmtId="2" fontId="14" fillId="0" borderId="5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190" fontId="3" fillId="0" borderId="7" xfId="0" applyNumberFormat="1" applyFont="1" applyBorder="1">
      <alignment vertical="center"/>
    </xf>
    <xf numFmtId="190" fontId="3" fillId="0" borderId="8" xfId="0" applyNumberFormat="1" applyFont="1" applyBorder="1">
      <alignment vertical="center"/>
    </xf>
    <xf numFmtId="190" fontId="3" fillId="0" borderId="9" xfId="0" applyNumberFormat="1" applyFont="1" applyBorder="1">
      <alignment vertical="center"/>
    </xf>
    <xf numFmtId="2" fontId="14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8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NumberFormat="1" applyFont="1">
      <alignment vertical="center"/>
    </xf>
    <xf numFmtId="0" fontId="20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86" fontId="14" fillId="0" borderId="0" xfId="0" applyNumberFormat="1" applyFont="1">
      <alignment vertical="center"/>
    </xf>
    <xf numFmtId="1" fontId="3" fillId="0" borderId="2" xfId="0" applyNumberFormat="1" applyFont="1" applyFill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4" fillId="0" borderId="7" xfId="0" applyFont="1" applyBorder="1">
      <alignment vertical="center"/>
    </xf>
    <xf numFmtId="186" fontId="14" fillId="0" borderId="9" xfId="0" applyNumberFormat="1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90" fontId="3" fillId="0" borderId="0" xfId="0" applyNumberFormat="1" applyFont="1" applyBorder="1" applyAlignment="1">
      <alignment horizontal="center" vertical="center"/>
    </xf>
    <xf numFmtId="190" fontId="3" fillId="0" borderId="1" xfId="0" applyNumberFormat="1" applyFont="1" applyBorder="1">
      <alignment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14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6" fontId="3" fillId="0" borderId="2" xfId="0" applyNumberFormat="1" applyFont="1" applyBorder="1">
      <alignment vertical="center"/>
    </xf>
    <xf numFmtId="186" fontId="3" fillId="0" borderId="4" xfId="0" applyNumberFormat="1" applyFont="1" applyBorder="1">
      <alignment vertical="center"/>
    </xf>
    <xf numFmtId="186" fontId="3" fillId="0" borderId="7" xfId="0" applyNumberFormat="1" applyFont="1" applyBorder="1">
      <alignment vertical="center"/>
    </xf>
    <xf numFmtId="186" fontId="3" fillId="0" borderId="9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49" fontId="15" fillId="0" borderId="0" xfId="0" applyNumberFormat="1" applyFont="1" applyAlignment="1">
      <alignment horizontal="center" vertical="center"/>
    </xf>
    <xf numFmtId="18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14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187" fontId="20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188" fontId="21" fillId="0" borderId="0" xfId="0" applyNumberFormat="1" applyFont="1">
      <alignment vertical="center"/>
    </xf>
    <xf numFmtId="188" fontId="15" fillId="0" borderId="0" xfId="0" applyNumberFormat="1" applyFont="1" applyAlignment="1">
      <alignment horizontal="center" vertical="center"/>
    </xf>
    <xf numFmtId="12" fontId="21" fillId="0" borderId="0" xfId="0" applyNumberFormat="1" applyFont="1">
      <alignment vertical="center"/>
    </xf>
    <xf numFmtId="187" fontId="14" fillId="0" borderId="0" xfId="0" applyNumberFormat="1" applyFont="1">
      <alignment vertical="center"/>
    </xf>
    <xf numFmtId="1" fontId="15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189" fontId="14" fillId="0" borderId="2" xfId="0" applyNumberFormat="1" applyFont="1" applyBorder="1" applyAlignment="1">
      <alignment horizontal="right" vertical="center"/>
    </xf>
    <xf numFmtId="189" fontId="14" fillId="0" borderId="3" xfId="0" applyNumberFormat="1" applyFont="1" applyBorder="1" applyAlignment="1">
      <alignment horizontal="right" vertical="center"/>
    </xf>
    <xf numFmtId="189" fontId="14" fillId="0" borderId="4" xfId="0" applyNumberFormat="1" applyFont="1" applyBorder="1" applyAlignment="1">
      <alignment horizontal="right" vertical="center"/>
    </xf>
    <xf numFmtId="189" fontId="14" fillId="0" borderId="5" xfId="0" applyNumberFormat="1" applyFont="1" applyBorder="1" applyAlignment="1">
      <alignment horizontal="right" vertical="center"/>
    </xf>
    <xf numFmtId="189" fontId="14" fillId="0" borderId="0" xfId="0" applyNumberFormat="1" applyFont="1" applyBorder="1" applyAlignment="1">
      <alignment horizontal="right" vertical="center"/>
    </xf>
    <xf numFmtId="189" fontId="14" fillId="0" borderId="6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left" vertical="center"/>
    </xf>
    <xf numFmtId="189" fontId="14" fillId="0" borderId="7" xfId="0" applyNumberFormat="1" applyFont="1" applyBorder="1" applyAlignment="1">
      <alignment horizontal="right" vertical="center"/>
    </xf>
    <xf numFmtId="189" fontId="14" fillId="0" borderId="8" xfId="0" applyNumberFormat="1" applyFont="1" applyBorder="1" applyAlignment="1">
      <alignment horizontal="right" vertical="center"/>
    </xf>
    <xf numFmtId="189" fontId="14" fillId="0" borderId="9" xfId="0" applyNumberFormat="1" applyFont="1" applyBorder="1" applyAlignment="1">
      <alignment horizontal="right" vertical="center"/>
    </xf>
    <xf numFmtId="176" fontId="14" fillId="0" borderId="0" xfId="0" applyNumberFormat="1" applyFont="1">
      <alignment vertical="center"/>
    </xf>
    <xf numFmtId="49" fontId="22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0" fontId="3" fillId="5" borderId="0" xfId="1" applyFont="1" applyFill="1" applyAlignment="1">
      <alignment horizontal="left"/>
    </xf>
    <xf numFmtId="0" fontId="3" fillId="5" borderId="0" xfId="1" applyFont="1" applyFill="1" applyAlignment="1">
      <alignment horizontal="right" textRotation="90"/>
    </xf>
    <xf numFmtId="0" fontId="3" fillId="5" borderId="0" xfId="1" applyFont="1" applyFill="1" applyAlignment="1">
      <alignment textRotation="90"/>
    </xf>
    <xf numFmtId="0" fontId="3" fillId="5" borderId="0" xfId="1" applyFont="1" applyFill="1" applyAlignment="1"/>
    <xf numFmtId="0" fontId="3" fillId="6" borderId="0" xfId="1" applyFont="1" applyFill="1" applyAlignment="1">
      <alignment horizontal="justify" vertical="center"/>
    </xf>
    <xf numFmtId="180" fontId="3" fillId="0" borderId="0" xfId="1" applyNumberFormat="1" applyFont="1">
      <alignment vertical="center"/>
    </xf>
    <xf numFmtId="0" fontId="7" fillId="0" borderId="0" xfId="1" applyFont="1">
      <alignment vertical="center"/>
    </xf>
    <xf numFmtId="0" fontId="3" fillId="7" borderId="0" xfId="1" applyFont="1" applyFill="1">
      <alignment vertical="center"/>
    </xf>
    <xf numFmtId="0" fontId="3" fillId="8" borderId="0" xfId="1" applyFont="1" applyFill="1">
      <alignment vertical="center"/>
    </xf>
    <xf numFmtId="0" fontId="11" fillId="6" borderId="0" xfId="1" applyFont="1" applyFill="1">
      <alignment vertical="center"/>
    </xf>
    <xf numFmtId="0" fontId="3" fillId="6" borderId="0" xfId="1" applyFont="1" applyFill="1">
      <alignment vertical="center"/>
    </xf>
    <xf numFmtId="179" fontId="3" fillId="0" borderId="0" xfId="1" applyNumberFormat="1" applyFont="1">
      <alignment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0" fillId="0" borderId="0" xfId="0" applyNumberFormat="1">
      <alignment vertical="center"/>
    </xf>
    <xf numFmtId="2" fontId="16" fillId="0" borderId="7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91" fontId="14" fillId="0" borderId="3" xfId="0" applyNumberFormat="1" applyFont="1" applyBorder="1" applyAlignment="1">
      <alignment horizontal="center" vertical="center"/>
    </xf>
    <xf numFmtId="191" fontId="14" fillId="0" borderId="4" xfId="0" applyNumberFormat="1" applyFont="1" applyBorder="1" applyAlignment="1">
      <alignment horizontal="center" vertical="center"/>
    </xf>
    <xf numFmtId="191" fontId="14" fillId="0" borderId="5" xfId="0" applyNumberFormat="1" applyFont="1" applyBorder="1" applyAlignment="1">
      <alignment horizontal="center" vertical="center"/>
    </xf>
    <xf numFmtId="191" fontId="14" fillId="0" borderId="2" xfId="0" applyNumberFormat="1" applyFont="1" applyBorder="1" applyAlignment="1">
      <alignment horizontal="right" vertical="center"/>
    </xf>
    <xf numFmtId="191" fontId="14" fillId="0" borderId="3" xfId="0" applyNumberFormat="1" applyFont="1" applyBorder="1" applyAlignment="1">
      <alignment horizontal="right" vertical="center"/>
    </xf>
    <xf numFmtId="191" fontId="14" fillId="0" borderId="4" xfId="0" applyNumberFormat="1" applyFont="1" applyBorder="1" applyAlignment="1">
      <alignment horizontal="right" vertical="center"/>
    </xf>
    <xf numFmtId="191" fontId="14" fillId="0" borderId="5" xfId="0" applyNumberFormat="1" applyFont="1" applyBorder="1" applyAlignment="1">
      <alignment horizontal="right" vertical="center"/>
    </xf>
    <xf numFmtId="191" fontId="14" fillId="0" borderId="0" xfId="0" applyNumberFormat="1" applyFont="1" applyBorder="1" applyAlignment="1">
      <alignment horizontal="right" vertical="center"/>
    </xf>
    <xf numFmtId="191" fontId="14" fillId="0" borderId="6" xfId="0" applyNumberFormat="1" applyFont="1" applyBorder="1" applyAlignment="1">
      <alignment horizontal="right" vertical="center"/>
    </xf>
    <xf numFmtId="191" fontId="14" fillId="0" borderId="7" xfId="0" applyNumberFormat="1" applyFont="1" applyBorder="1" applyAlignment="1">
      <alignment horizontal="center" vertical="center"/>
    </xf>
    <xf numFmtId="191" fontId="14" fillId="0" borderId="7" xfId="0" applyNumberFormat="1" applyFont="1" applyBorder="1" applyAlignment="1">
      <alignment horizontal="right" vertical="center"/>
    </xf>
    <xf numFmtId="191" fontId="14" fillId="0" borderId="8" xfId="0" applyNumberFormat="1" applyFont="1" applyBorder="1" applyAlignment="1">
      <alignment horizontal="right" vertical="center"/>
    </xf>
    <xf numFmtId="191" fontId="14" fillId="0" borderId="9" xfId="0" applyNumberFormat="1" applyFont="1" applyBorder="1" applyAlignment="1">
      <alignment horizontal="right" vertical="center"/>
    </xf>
    <xf numFmtId="2" fontId="14" fillId="0" borderId="0" xfId="0" applyNumberFormat="1" applyFont="1" applyAlignment="1">
      <alignment horizontal="center" vertical="center"/>
    </xf>
    <xf numFmtId="2" fontId="14" fillId="0" borderId="0" xfId="0" applyNumberFormat="1" applyFont="1">
      <alignment vertical="center"/>
    </xf>
    <xf numFmtId="191" fontId="14" fillId="0" borderId="1" xfId="0" applyNumberFormat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21" fillId="0" borderId="0" xfId="0" applyNumberFormat="1" applyFont="1">
      <alignment vertical="center"/>
    </xf>
    <xf numFmtId="2" fontId="21" fillId="0" borderId="0" xfId="0" applyNumberFormat="1" applyFont="1" applyAlignment="1">
      <alignment horizontal="lef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right" vertical="center"/>
    </xf>
    <xf numFmtId="1" fontId="16" fillId="0" borderId="4" xfId="0" applyNumberFormat="1" applyFont="1" applyBorder="1" applyAlignment="1">
      <alignment horizontal="right" vertical="center"/>
    </xf>
    <xf numFmtId="1" fontId="16" fillId="0" borderId="5" xfId="0" applyNumberFormat="1" applyFont="1" applyBorder="1" applyAlignment="1">
      <alignment horizontal="right" vertical="center"/>
    </xf>
    <xf numFmtId="1" fontId="16" fillId="0" borderId="0" xfId="0" applyNumberFormat="1" applyFont="1" applyBorder="1" applyAlignment="1">
      <alignment horizontal="right" vertical="center"/>
    </xf>
    <xf numFmtId="1" fontId="16" fillId="0" borderId="6" xfId="0" applyNumberFormat="1" applyFont="1" applyBorder="1" applyAlignment="1">
      <alignment horizontal="right" vertical="center"/>
    </xf>
    <xf numFmtId="1" fontId="16" fillId="0" borderId="7" xfId="0" applyNumberFormat="1" applyFont="1" applyBorder="1" applyAlignment="1">
      <alignment horizontal="right" vertical="center"/>
    </xf>
    <xf numFmtId="1" fontId="16" fillId="0" borderId="8" xfId="0" applyNumberFormat="1" applyFont="1" applyBorder="1" applyAlignment="1">
      <alignment horizontal="right" vertical="center"/>
    </xf>
    <xf numFmtId="1" fontId="16" fillId="0" borderId="9" xfId="0" applyNumberFormat="1" applyFont="1" applyBorder="1" applyAlignment="1">
      <alignment horizontal="right" vertical="center"/>
    </xf>
    <xf numFmtId="192" fontId="3" fillId="0" borderId="2" xfId="0" applyNumberFormat="1" applyFont="1" applyBorder="1">
      <alignment vertical="center"/>
    </xf>
    <xf numFmtId="192" fontId="3" fillId="0" borderId="3" xfId="0" applyNumberFormat="1" applyFont="1" applyBorder="1">
      <alignment vertical="center"/>
    </xf>
    <xf numFmtId="192" fontId="3" fillId="0" borderId="4" xfId="0" applyNumberFormat="1" applyFont="1" applyBorder="1">
      <alignment vertical="center"/>
    </xf>
    <xf numFmtId="192" fontId="3" fillId="0" borderId="5" xfId="0" applyNumberFormat="1" applyFont="1" applyBorder="1">
      <alignment vertical="center"/>
    </xf>
    <xf numFmtId="192" fontId="3" fillId="0" borderId="0" xfId="0" applyNumberFormat="1" applyFont="1" applyBorder="1">
      <alignment vertical="center"/>
    </xf>
    <xf numFmtId="192" fontId="3" fillId="0" borderId="6" xfId="0" applyNumberFormat="1" applyFont="1" applyBorder="1">
      <alignment vertical="center"/>
    </xf>
    <xf numFmtId="192" fontId="3" fillId="0" borderId="7" xfId="0" applyNumberFormat="1" applyFont="1" applyBorder="1">
      <alignment vertical="center"/>
    </xf>
    <xf numFmtId="192" fontId="3" fillId="0" borderId="8" xfId="0" applyNumberFormat="1" applyFont="1" applyBorder="1">
      <alignment vertical="center"/>
    </xf>
    <xf numFmtId="192" fontId="3" fillId="0" borderId="9" xfId="0" applyNumberFormat="1" applyFont="1" applyBorder="1">
      <alignment vertical="center"/>
    </xf>
    <xf numFmtId="193" fontId="16" fillId="0" borderId="1" xfId="0" applyNumberFormat="1" applyFont="1" applyBorder="1" applyAlignment="1">
      <alignment horizontal="center" vertical="center"/>
    </xf>
    <xf numFmtId="193" fontId="16" fillId="0" borderId="3" xfId="0" applyNumberFormat="1" applyFont="1" applyBorder="1" applyAlignment="1">
      <alignment horizontal="center" vertical="center"/>
    </xf>
    <xf numFmtId="193" fontId="16" fillId="0" borderId="4" xfId="0" applyNumberFormat="1" applyFont="1" applyBorder="1" applyAlignment="1">
      <alignment horizontal="center" vertical="center"/>
    </xf>
    <xf numFmtId="193" fontId="16" fillId="0" borderId="5" xfId="0" applyNumberFormat="1" applyFont="1" applyBorder="1" applyAlignment="1">
      <alignment horizontal="center" vertical="center"/>
    </xf>
    <xf numFmtId="193" fontId="16" fillId="0" borderId="2" xfId="0" applyNumberFormat="1" applyFont="1" applyBorder="1" applyAlignment="1">
      <alignment horizontal="right" vertical="center"/>
    </xf>
    <xf numFmtId="193" fontId="16" fillId="0" borderId="3" xfId="0" applyNumberFormat="1" applyFont="1" applyBorder="1" applyAlignment="1">
      <alignment horizontal="right" vertical="center"/>
    </xf>
    <xf numFmtId="193" fontId="16" fillId="0" borderId="4" xfId="0" applyNumberFormat="1" applyFont="1" applyBorder="1" applyAlignment="1">
      <alignment horizontal="right" vertical="center"/>
    </xf>
    <xf numFmtId="193" fontId="16" fillId="0" borderId="5" xfId="0" applyNumberFormat="1" applyFont="1" applyBorder="1" applyAlignment="1">
      <alignment horizontal="right" vertical="center"/>
    </xf>
    <xf numFmtId="193" fontId="16" fillId="0" borderId="0" xfId="0" applyNumberFormat="1" applyFont="1" applyBorder="1" applyAlignment="1">
      <alignment horizontal="right" vertical="center"/>
    </xf>
    <xf numFmtId="193" fontId="16" fillId="0" borderId="6" xfId="0" applyNumberFormat="1" applyFont="1" applyBorder="1" applyAlignment="1">
      <alignment horizontal="right" vertical="center"/>
    </xf>
    <xf numFmtId="193" fontId="16" fillId="0" borderId="7" xfId="0" applyNumberFormat="1" applyFont="1" applyBorder="1" applyAlignment="1">
      <alignment horizontal="center" vertical="center"/>
    </xf>
    <xf numFmtId="193" fontId="16" fillId="0" borderId="7" xfId="0" applyNumberFormat="1" applyFont="1" applyBorder="1" applyAlignment="1">
      <alignment horizontal="right" vertical="center"/>
    </xf>
    <xf numFmtId="193" fontId="16" fillId="0" borderId="8" xfId="0" applyNumberFormat="1" applyFont="1" applyBorder="1" applyAlignment="1">
      <alignment horizontal="right" vertical="center"/>
    </xf>
    <xf numFmtId="193" fontId="16" fillId="0" borderId="9" xfId="0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center" vertical="center"/>
    </xf>
    <xf numFmtId="190" fontId="26" fillId="0" borderId="0" xfId="0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" fontId="3" fillId="0" borderId="7" xfId="0" applyNumberFormat="1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 wrapText="1"/>
    </xf>
    <xf numFmtId="191" fontId="16" fillId="0" borderId="2" xfId="0" applyNumberFormat="1" applyFont="1" applyBorder="1" applyAlignment="1">
      <alignment horizontal="right" vertical="center"/>
    </xf>
    <xf numFmtId="191" fontId="16" fillId="0" borderId="3" xfId="0" applyNumberFormat="1" applyFont="1" applyBorder="1" applyAlignment="1">
      <alignment horizontal="right" vertical="center"/>
    </xf>
    <xf numFmtId="191" fontId="16" fillId="0" borderId="4" xfId="0" applyNumberFormat="1" applyFont="1" applyBorder="1" applyAlignment="1">
      <alignment horizontal="right" vertical="center"/>
    </xf>
    <xf numFmtId="191" fontId="16" fillId="0" borderId="5" xfId="0" applyNumberFormat="1" applyFont="1" applyBorder="1" applyAlignment="1">
      <alignment horizontal="right" vertical="center"/>
    </xf>
    <xf numFmtId="191" fontId="16" fillId="0" borderId="0" xfId="0" applyNumberFormat="1" applyFont="1" applyBorder="1" applyAlignment="1">
      <alignment horizontal="right" vertical="center"/>
    </xf>
    <xf numFmtId="191" fontId="16" fillId="0" borderId="6" xfId="0" applyNumberFormat="1" applyFont="1" applyBorder="1" applyAlignment="1">
      <alignment horizontal="right" vertical="center"/>
    </xf>
    <xf numFmtId="191" fontId="16" fillId="0" borderId="7" xfId="0" applyNumberFormat="1" applyFont="1" applyBorder="1" applyAlignment="1">
      <alignment horizontal="right" vertical="center"/>
    </xf>
    <xf numFmtId="191" fontId="16" fillId="0" borderId="8" xfId="0" applyNumberFormat="1" applyFont="1" applyBorder="1" applyAlignment="1">
      <alignment horizontal="right" vertical="center"/>
    </xf>
    <xf numFmtId="191" fontId="16" fillId="0" borderId="9" xfId="0" applyNumberFormat="1" applyFont="1" applyBorder="1" applyAlignment="1">
      <alignment horizontal="right" vertical="center"/>
    </xf>
    <xf numFmtId="191" fontId="3" fillId="0" borderId="2" xfId="0" applyNumberFormat="1" applyFont="1" applyBorder="1" applyAlignment="1">
      <alignment horizontal="right" vertical="center"/>
    </xf>
    <xf numFmtId="191" fontId="3" fillId="0" borderId="3" xfId="0" applyNumberFormat="1" applyFont="1" applyBorder="1" applyAlignment="1">
      <alignment horizontal="right" vertical="center"/>
    </xf>
    <xf numFmtId="191" fontId="3" fillId="0" borderId="4" xfId="0" applyNumberFormat="1" applyFont="1" applyBorder="1" applyAlignment="1">
      <alignment horizontal="right" vertical="center"/>
    </xf>
    <xf numFmtId="191" fontId="3" fillId="0" borderId="5" xfId="0" applyNumberFormat="1" applyFont="1" applyBorder="1" applyAlignment="1">
      <alignment horizontal="right" vertical="center"/>
    </xf>
    <xf numFmtId="191" fontId="3" fillId="0" borderId="0" xfId="0" applyNumberFormat="1" applyFont="1" applyBorder="1" applyAlignment="1">
      <alignment horizontal="right" vertical="center"/>
    </xf>
    <xf numFmtId="191" fontId="3" fillId="0" borderId="6" xfId="0" applyNumberFormat="1" applyFont="1" applyBorder="1" applyAlignment="1">
      <alignment horizontal="right" vertical="center"/>
    </xf>
    <xf numFmtId="191" fontId="3" fillId="0" borderId="7" xfId="0" applyNumberFormat="1" applyFont="1" applyBorder="1" applyAlignment="1">
      <alignment horizontal="right" vertical="center"/>
    </xf>
    <xf numFmtId="191" fontId="3" fillId="0" borderId="8" xfId="0" applyNumberFormat="1" applyFont="1" applyBorder="1" applyAlignment="1">
      <alignment horizontal="right" vertical="center"/>
    </xf>
    <xf numFmtId="191" fontId="3" fillId="0" borderId="9" xfId="0" applyNumberFormat="1" applyFont="1" applyBorder="1" applyAlignment="1">
      <alignment horizontal="right" vertical="center"/>
    </xf>
    <xf numFmtId="49" fontId="3" fillId="0" borderId="0" xfId="1" applyNumberFormat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49" fontId="14" fillId="0" borderId="2" xfId="0" applyNumberFormat="1" applyFont="1" applyBorder="1" applyAlignment="1">
      <alignment horizontal="center" vertical="center"/>
    </xf>
    <xf numFmtId="191" fontId="3" fillId="0" borderId="3" xfId="1" applyNumberFormat="1" applyFont="1" applyBorder="1" applyAlignment="1">
      <alignment horizontal="right" vertical="center"/>
    </xf>
    <xf numFmtId="191" fontId="3" fillId="0" borderId="4" xfId="1" applyNumberFormat="1" applyFont="1" applyBorder="1" applyAlignment="1">
      <alignment horizontal="right" vertical="center"/>
    </xf>
    <xf numFmtId="191" fontId="3" fillId="0" borderId="0" xfId="1" applyNumberFormat="1" applyFont="1" applyBorder="1" applyAlignment="1">
      <alignment horizontal="right" vertical="center"/>
    </xf>
    <xf numFmtId="191" fontId="3" fillId="0" borderId="6" xfId="1" applyNumberFormat="1" applyFont="1" applyBorder="1" applyAlignment="1">
      <alignment horizontal="right" vertical="center"/>
    </xf>
    <xf numFmtId="191" fontId="3" fillId="0" borderId="8" xfId="1" applyNumberFormat="1" applyFont="1" applyBorder="1" applyAlignment="1">
      <alignment horizontal="right" vertical="center"/>
    </xf>
    <xf numFmtId="191" fontId="3" fillId="0" borderId="9" xfId="1" applyNumberFormat="1" applyFont="1" applyBorder="1" applyAlignment="1">
      <alignment horizontal="right" vertical="center"/>
    </xf>
    <xf numFmtId="191" fontId="3" fillId="0" borderId="2" xfId="1" applyNumberFormat="1" applyFont="1" applyBorder="1" applyAlignment="1">
      <alignment horizontal="right" vertical="center"/>
    </xf>
    <xf numFmtId="191" fontId="3" fillId="0" borderId="5" xfId="1" applyNumberFormat="1" applyFont="1" applyBorder="1" applyAlignment="1">
      <alignment horizontal="right" vertical="center"/>
    </xf>
    <xf numFmtId="191" fontId="3" fillId="0" borderId="7" xfId="1" applyNumberFormat="1" applyFont="1" applyBorder="1" applyAlignment="1">
      <alignment horizontal="right" vertical="center"/>
    </xf>
    <xf numFmtId="190" fontId="3" fillId="0" borderId="3" xfId="0" applyNumberFormat="1" applyFont="1" applyBorder="1" applyAlignment="1">
      <alignment horizontal="center" vertical="center"/>
    </xf>
    <xf numFmtId="190" fontId="3" fillId="0" borderId="4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188" fontId="15" fillId="0" borderId="5" xfId="0" applyNumberFormat="1" applyFont="1" applyBorder="1" applyAlignment="1">
      <alignment horizontal="center" vertical="center"/>
    </xf>
    <xf numFmtId="187" fontId="14" fillId="0" borderId="0" xfId="0" applyNumberFormat="1" applyFont="1" applyBorder="1">
      <alignment vertical="center"/>
    </xf>
    <xf numFmtId="187" fontId="14" fillId="0" borderId="6" xfId="0" applyNumberFormat="1" applyFont="1" applyBorder="1">
      <alignment vertical="center"/>
    </xf>
    <xf numFmtId="187" fontId="14" fillId="0" borderId="8" xfId="0" applyNumberFormat="1" applyFont="1" applyBorder="1">
      <alignment vertical="center"/>
    </xf>
    <xf numFmtId="187" fontId="14" fillId="0" borderId="9" xfId="0" applyNumberFormat="1" applyFont="1" applyBorder="1">
      <alignment vertical="center"/>
    </xf>
    <xf numFmtId="12" fontId="21" fillId="0" borderId="2" xfId="0" applyNumberFormat="1" applyFont="1" applyBorder="1">
      <alignment vertical="center"/>
    </xf>
    <xf numFmtId="12" fontId="21" fillId="0" borderId="3" xfId="0" applyNumberFormat="1" applyFont="1" applyBorder="1">
      <alignment vertical="center"/>
    </xf>
    <xf numFmtId="12" fontId="21" fillId="0" borderId="4" xfId="0" applyNumberFormat="1" applyFont="1" applyBorder="1">
      <alignment vertical="center"/>
    </xf>
    <xf numFmtId="187" fontId="14" fillId="0" borderId="5" xfId="0" applyNumberFormat="1" applyFont="1" applyBorder="1">
      <alignment vertical="center"/>
    </xf>
    <xf numFmtId="187" fontId="14" fillId="0" borderId="7" xfId="0" applyNumberFormat="1" applyFont="1" applyBorder="1">
      <alignment vertical="center"/>
    </xf>
    <xf numFmtId="187" fontId="20" fillId="0" borderId="1" xfId="0" applyNumberFormat="1" applyFont="1" applyBorder="1" applyAlignment="1">
      <alignment horizontal="center" vertical="center"/>
    </xf>
    <xf numFmtId="185" fontId="14" fillId="0" borderId="2" xfId="0" applyNumberFormat="1" applyFont="1" applyBorder="1" applyAlignment="1">
      <alignment horizontal="right" vertical="center"/>
    </xf>
    <xf numFmtId="185" fontId="14" fillId="0" borderId="3" xfId="0" applyNumberFormat="1" applyFont="1" applyBorder="1" applyAlignment="1">
      <alignment horizontal="right" vertical="center"/>
    </xf>
    <xf numFmtId="185" fontId="14" fillId="0" borderId="4" xfId="0" applyNumberFormat="1" applyFont="1" applyBorder="1" applyAlignment="1">
      <alignment horizontal="right" vertical="center"/>
    </xf>
    <xf numFmtId="185" fontId="14" fillId="0" borderId="5" xfId="0" applyNumberFormat="1" applyFont="1" applyBorder="1" applyAlignment="1">
      <alignment horizontal="right" vertical="center"/>
    </xf>
    <xf numFmtId="185" fontId="14" fillId="0" borderId="0" xfId="0" applyNumberFormat="1" applyFont="1" applyBorder="1" applyAlignment="1">
      <alignment horizontal="right" vertical="center"/>
    </xf>
    <xf numFmtId="185" fontId="14" fillId="0" borderId="6" xfId="0" applyNumberFormat="1" applyFont="1" applyBorder="1" applyAlignment="1">
      <alignment horizontal="right" vertical="center"/>
    </xf>
    <xf numFmtId="185" fontId="14" fillId="0" borderId="7" xfId="0" applyNumberFormat="1" applyFont="1" applyBorder="1" applyAlignment="1">
      <alignment horizontal="right" vertical="center"/>
    </xf>
    <xf numFmtId="185" fontId="14" fillId="0" borderId="8" xfId="0" applyNumberFormat="1" applyFont="1" applyBorder="1" applyAlignment="1">
      <alignment horizontal="right" vertical="center"/>
    </xf>
    <xf numFmtId="185" fontId="14" fillId="0" borderId="9" xfId="0" applyNumberFormat="1" applyFont="1" applyBorder="1" applyAlignment="1">
      <alignment horizontal="right"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0" xfId="1" applyFont="1" applyAlignment="1">
      <alignment vertical="center" wrapText="1"/>
    </xf>
    <xf numFmtId="194" fontId="3" fillId="0" borderId="0" xfId="0" applyNumberFormat="1" applyFont="1" applyBorder="1">
      <alignment vertical="center"/>
    </xf>
    <xf numFmtId="180" fontId="3" fillId="0" borderId="0" xfId="1" applyNumberFormat="1" applyFont="1" applyBorder="1">
      <alignment vertical="center"/>
    </xf>
    <xf numFmtId="0" fontId="7" fillId="0" borderId="0" xfId="1" applyBorder="1">
      <alignment vertical="center"/>
    </xf>
    <xf numFmtId="194" fontId="11" fillId="0" borderId="0" xfId="0" applyNumberFormat="1" applyFont="1" applyBorder="1">
      <alignment vertical="center"/>
    </xf>
    <xf numFmtId="0" fontId="3" fillId="7" borderId="0" xfId="1" applyFont="1" applyFill="1" applyAlignment="1">
      <alignment horizontal="center" vertical="center"/>
    </xf>
    <xf numFmtId="181" fontId="9" fillId="9" borderId="8" xfId="1" applyNumberFormat="1" applyFont="1" applyFill="1" applyBorder="1">
      <alignment vertical="center"/>
    </xf>
    <xf numFmtId="181" fontId="9" fillId="9" borderId="3" xfId="1" applyNumberFormat="1" applyFont="1" applyFill="1" applyBorder="1">
      <alignment vertical="center"/>
    </xf>
    <xf numFmtId="0" fontId="9" fillId="0" borderId="10" xfId="1" applyFont="1" applyBorder="1">
      <alignment vertical="center"/>
    </xf>
    <xf numFmtId="0" fontId="9" fillId="3" borderId="11" xfId="1" applyFont="1" applyFill="1" applyBorder="1">
      <alignment vertical="center"/>
    </xf>
    <xf numFmtId="181" fontId="9" fillId="9" borderId="11" xfId="1" applyNumberFormat="1" applyFont="1" applyFill="1" applyBorder="1">
      <alignment vertical="center"/>
    </xf>
    <xf numFmtId="181" fontId="9" fillId="9" borderId="12" xfId="1" applyNumberFormat="1" applyFont="1" applyFill="1" applyBorder="1">
      <alignment vertical="center"/>
    </xf>
    <xf numFmtId="0" fontId="9" fillId="0" borderId="1" xfId="1" applyFont="1" applyBorder="1">
      <alignment vertical="center"/>
    </xf>
    <xf numFmtId="0" fontId="9" fillId="3" borderId="13" xfId="1" applyFont="1" applyFill="1" applyBorder="1">
      <alignment vertical="center"/>
    </xf>
    <xf numFmtId="0" fontId="9" fillId="3" borderId="10" xfId="1" applyFont="1" applyFill="1" applyBorder="1">
      <alignment vertical="center"/>
    </xf>
    <xf numFmtId="181" fontId="9" fillId="9" borderId="10" xfId="1" applyNumberFormat="1" applyFont="1" applyFill="1" applyBorder="1">
      <alignment vertical="center"/>
    </xf>
    <xf numFmtId="0" fontId="9" fillId="3" borderId="12" xfId="1" applyFont="1" applyFill="1" applyBorder="1">
      <alignment vertical="center"/>
    </xf>
    <xf numFmtId="0" fontId="9" fillId="3" borderId="1" xfId="1" applyFont="1" applyFill="1" applyBorder="1">
      <alignment vertical="center"/>
    </xf>
    <xf numFmtId="182" fontId="9" fillId="0" borderId="8" xfId="1" applyNumberFormat="1" applyFont="1" applyBorder="1">
      <alignment vertical="center"/>
    </xf>
    <xf numFmtId="184" fontId="9" fillId="0" borderId="11" xfId="1" applyNumberFormat="1" applyFont="1" applyBorder="1">
      <alignment vertical="center"/>
    </xf>
    <xf numFmtId="184" fontId="9" fillId="0" borderId="12" xfId="1" applyNumberFormat="1" applyFont="1" applyBorder="1">
      <alignment vertical="center"/>
    </xf>
    <xf numFmtId="182" fontId="9" fillId="0" borderId="13" xfId="1" applyNumberFormat="1" applyFont="1" applyBorder="1">
      <alignment vertical="center"/>
    </xf>
    <xf numFmtId="184" fontId="9" fillId="0" borderId="1" xfId="1" applyNumberFormat="1" applyFont="1" applyBorder="1">
      <alignment vertical="center"/>
    </xf>
    <xf numFmtId="0" fontId="9" fillId="0" borderId="0" xfId="1" applyFont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1" xfId="1" applyFont="1" applyFill="1" applyBorder="1">
      <alignment vertical="center"/>
    </xf>
    <xf numFmtId="0" fontId="9" fillId="0" borderId="7" xfId="1" applyFont="1" applyBorder="1">
      <alignment vertical="center"/>
    </xf>
    <xf numFmtId="181" fontId="9" fillId="9" borderId="13" xfId="1" applyNumberFormat="1" applyFont="1" applyFill="1" applyBorder="1">
      <alignment vertical="center"/>
    </xf>
    <xf numFmtId="181" fontId="9" fillId="9" borderId="1" xfId="1" applyNumberFormat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3" borderId="7" xfId="1" applyFont="1" applyFill="1" applyBorder="1">
      <alignment vertical="center"/>
    </xf>
    <xf numFmtId="0" fontId="9" fillId="3" borderId="2" xfId="1" applyFont="1" applyFill="1" applyBorder="1">
      <alignment vertical="center"/>
    </xf>
    <xf numFmtId="184" fontId="9" fillId="0" borderId="10" xfId="1" applyNumberFormat="1" applyFont="1" applyBorder="1">
      <alignment vertical="center"/>
    </xf>
    <xf numFmtId="0" fontId="9" fillId="3" borderId="4" xfId="1" applyFont="1" applyFill="1" applyBorder="1">
      <alignment vertical="center"/>
    </xf>
    <xf numFmtId="182" fontId="9" fillId="0" borderId="2" xfId="1" applyNumberFormat="1" applyFont="1" applyBorder="1">
      <alignment vertical="center"/>
    </xf>
    <xf numFmtId="182" fontId="9" fillId="0" borderId="4" xfId="1" applyNumberFormat="1" applyFont="1" applyBorder="1">
      <alignment vertical="center"/>
    </xf>
    <xf numFmtId="182" fontId="9" fillId="0" borderId="7" xfId="1" applyNumberFormat="1" applyFont="1" applyBorder="1">
      <alignment vertical="center"/>
    </xf>
    <xf numFmtId="182" fontId="9" fillId="0" borderId="9" xfId="1" applyNumberFormat="1" applyFont="1" applyBorder="1">
      <alignment vertical="center"/>
    </xf>
    <xf numFmtId="182" fontId="9" fillId="0" borderId="6" xfId="1" applyNumberFormat="1" applyFont="1" applyBorder="1">
      <alignment vertical="center"/>
    </xf>
    <xf numFmtId="0" fontId="9" fillId="3" borderId="14" xfId="1" applyFont="1" applyFill="1" applyBorder="1">
      <alignment vertical="center"/>
    </xf>
    <xf numFmtId="185" fontId="3" fillId="0" borderId="6" xfId="2" applyNumberFormat="1" applyFont="1" applyBorder="1"/>
    <xf numFmtId="185" fontId="3" fillId="0" borderId="8" xfId="2" applyNumberFormat="1" applyFont="1" applyBorder="1"/>
    <xf numFmtId="185" fontId="3" fillId="0" borderId="9" xfId="2" applyNumberFormat="1" applyFont="1" applyBorder="1"/>
    <xf numFmtId="1" fontId="3" fillId="3" borderId="11" xfId="2" applyNumberFormat="1" applyFont="1" applyFill="1" applyBorder="1" applyAlignment="1">
      <alignment horizontal="center"/>
    </xf>
    <xf numFmtId="1" fontId="3" fillId="3" borderId="12" xfId="2" applyNumberFormat="1" applyFont="1" applyFill="1" applyBorder="1" applyAlignment="1">
      <alignment horizontal="center"/>
    </xf>
    <xf numFmtId="185" fontId="3" fillId="0" borderId="1" xfId="2" applyNumberFormat="1" applyFont="1" applyBorder="1"/>
    <xf numFmtId="185" fontId="3" fillId="3" borderId="13" xfId="2" applyNumberFormat="1" applyFont="1" applyFill="1" applyBorder="1"/>
    <xf numFmtId="185" fontId="3" fillId="3" borderId="14" xfId="2" applyNumberFormat="1" applyFont="1" applyFill="1" applyBorder="1"/>
    <xf numFmtId="182" fontId="3" fillId="0" borderId="6" xfId="1" applyNumberFormat="1" applyFont="1" applyBorder="1">
      <alignment vertical="center"/>
    </xf>
    <xf numFmtId="182" fontId="3" fillId="0" borderId="8" xfId="1" applyNumberFormat="1" applyFont="1" applyBorder="1">
      <alignment vertical="center"/>
    </xf>
    <xf numFmtId="183" fontId="3" fillId="9" borderId="8" xfId="1" applyNumberFormat="1" applyFont="1" applyFill="1" applyBorder="1">
      <alignment vertical="center"/>
    </xf>
    <xf numFmtId="182" fontId="3" fillId="9" borderId="9" xfId="1" applyNumberFormat="1" applyFont="1" applyFill="1" applyBorder="1">
      <alignment vertical="center"/>
    </xf>
    <xf numFmtId="0" fontId="3" fillId="10" borderId="11" xfId="1" applyFont="1" applyFill="1" applyBorder="1">
      <alignment vertical="center"/>
    </xf>
    <xf numFmtId="0" fontId="3" fillId="10" borderId="12" xfId="1" applyFont="1" applyFill="1" applyBorder="1">
      <alignment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26" fillId="0" borderId="1" xfId="1" applyFont="1" applyBorder="1">
      <alignment vertical="center"/>
    </xf>
  </cellXfs>
  <cellStyles count="4">
    <cellStyle name="標準" xfId="0" builtinId="0"/>
    <cellStyle name="標準 2" xfId="1"/>
    <cellStyle name="標準 2 2" xfId="3"/>
    <cellStyle name="標準_toukei_24-34" xfId="2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Lit>
              <c:formatCode>General</c:formatCode>
              <c:ptCount val="5"/>
              <c:pt idx="0">
                <c:v>8</c:v>
              </c:pt>
              <c:pt idx="1">
                <c:v>50</c:v>
              </c:pt>
              <c:pt idx="2">
                <c:v>0</c:v>
              </c:pt>
              <c:pt idx="3">
                <c:v>0</c:v>
              </c:pt>
              <c:pt idx="4">
                <c:v>11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50</c:v>
              </c:pt>
              <c:pt idx="2">
                <c:v>19</c:v>
              </c:pt>
              <c:pt idx="3">
                <c:v>0</c:v>
              </c:pt>
              <c:pt idx="4">
                <c:v>12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21824"/>
        <c:axId val="165893248"/>
      </c:scatterChart>
      <c:valAx>
        <c:axId val="1530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893248"/>
        <c:crosses val="autoZero"/>
        <c:crossBetween val="midCat"/>
      </c:valAx>
      <c:valAx>
        <c:axId val="16589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3021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類似係数!$A$78</c:f>
              <c:strCache>
                <c:ptCount val="1"/>
                <c:pt idx="0">
                  <c:v>a / [a + √(bc)]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類似係数!$B$78:$L$78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0.16952084719853724</c:v>
                </c:pt>
                <c:pt idx="2">
                  <c:v>0.28989794855663564</c:v>
                </c:pt>
                <c:pt idx="3">
                  <c:v>0.37979589711327127</c:v>
                </c:pt>
                <c:pt idx="4">
                  <c:v>0.4494897427831781</c:v>
                </c:pt>
                <c:pt idx="5">
                  <c:v>0.50510257216821908</c:v>
                </c:pt>
                <c:pt idx="6">
                  <c:v>0.5505102572168219</c:v>
                </c:pt>
                <c:pt idx="7">
                  <c:v>0.58828574404142031</c:v>
                </c:pt>
                <c:pt idx="8">
                  <c:v>0.62020410288672878</c:v>
                </c:pt>
                <c:pt idx="9">
                  <c:v>0.6475295549105754</c:v>
                </c:pt>
                <c:pt idx="10">
                  <c:v>0.6711869097939005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類似係数!$A$91</c:f>
              <c:strCache>
                <c:ptCount val="1"/>
                <c:pt idx="0">
                  <c:v>a / √[(a+b)(a+c)]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類似係数!$B$91:$L$91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0.1690308509457033</c:v>
                </c:pt>
                <c:pt idx="2">
                  <c:v>0.28867513459481292</c:v>
                </c:pt>
                <c:pt idx="3">
                  <c:v>0.3779644730092272</c:v>
                </c:pt>
                <c:pt idx="4">
                  <c:v>0.44721359549995793</c:v>
                </c:pt>
                <c:pt idx="5">
                  <c:v>0.50251890762960605</c:v>
                </c:pt>
                <c:pt idx="6">
                  <c:v>0.54772255750516607</c:v>
                </c:pt>
                <c:pt idx="7">
                  <c:v>0.58536940700496354</c:v>
                </c:pt>
                <c:pt idx="8">
                  <c:v>0.61721339984836765</c:v>
                </c:pt>
                <c:pt idx="9">
                  <c:v>0.64450338663548956</c:v>
                </c:pt>
                <c:pt idx="10">
                  <c:v>0.66815310478106094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類似係数!$A$64</c:f>
              <c:strCache>
                <c:ptCount val="1"/>
                <c:pt idx="0">
                  <c:v>2a / (2a+b+c)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類似係数!$B$64:$L$64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0.16666666666666666</c:v>
                </c:pt>
                <c:pt idx="2">
                  <c:v>0.2857142857142857</c:v>
                </c:pt>
                <c:pt idx="3">
                  <c:v>0.375</c:v>
                </c:pt>
                <c:pt idx="4">
                  <c:v>0.44444444444444442</c:v>
                </c:pt>
                <c:pt idx="5">
                  <c:v>0.5</c:v>
                </c:pt>
                <c:pt idx="6">
                  <c:v>0.54545454545454541</c:v>
                </c:pt>
                <c:pt idx="7">
                  <c:v>0.58333333333333337</c:v>
                </c:pt>
                <c:pt idx="8">
                  <c:v>0.61538461538461542</c:v>
                </c:pt>
                <c:pt idx="9">
                  <c:v>0.6428571428571429</c:v>
                </c:pt>
                <c:pt idx="10">
                  <c:v>0.66666666666666663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類似係数!$A$63</c:f>
              <c:strCache>
                <c:ptCount val="1"/>
                <c:pt idx="0">
                  <c:v>a / (a+b+c)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類似係数!$B$63:$L$63</c:f>
              <c:numCache>
                <c:formatCode>.000_ ;[Red]\-.000\ </c:formatCode>
                <c:ptCount val="11"/>
                <c:pt idx="0">
                  <c:v>0</c:v>
                </c:pt>
                <c:pt idx="1">
                  <c:v>9.0909090909090912E-2</c:v>
                </c:pt>
                <c:pt idx="2">
                  <c:v>0.16666666666666666</c:v>
                </c:pt>
                <c:pt idx="3">
                  <c:v>0.23076923076923078</c:v>
                </c:pt>
                <c:pt idx="4">
                  <c:v>0.2857142857142857</c:v>
                </c:pt>
                <c:pt idx="5">
                  <c:v>0.33333333333333331</c:v>
                </c:pt>
                <c:pt idx="6">
                  <c:v>0.375</c:v>
                </c:pt>
                <c:pt idx="7">
                  <c:v>0.41176470588235292</c:v>
                </c:pt>
                <c:pt idx="8">
                  <c:v>0.44444444444444442</c:v>
                </c:pt>
                <c:pt idx="9">
                  <c:v>0.47368421052631576</c:v>
                </c:pt>
                <c:pt idx="1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70880"/>
        <c:axId val="166972416"/>
      </c:lineChart>
      <c:catAx>
        <c:axId val="16697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972416"/>
        <c:crosses val="autoZero"/>
        <c:auto val="1"/>
        <c:lblAlgn val="ctr"/>
        <c:lblOffset val="100"/>
        <c:noMultiLvlLbl val="0"/>
      </c:catAx>
      <c:valAx>
        <c:axId val="1669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.000_ ;[Red]\-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97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類似係数!$A$74</c:f>
              <c:strCache>
                <c:ptCount val="1"/>
                <c:pt idx="0">
                  <c:v>√[ad / (ad + bc)]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類似係数!$B$74:$L$74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0.63245553203367588</c:v>
                </c:pt>
                <c:pt idx="3">
                  <c:v>0.70710678118654757</c:v>
                </c:pt>
                <c:pt idx="4">
                  <c:v>0.7559289460184544</c:v>
                </c:pt>
                <c:pt idx="5">
                  <c:v>0.79056941504209488</c:v>
                </c:pt>
                <c:pt idx="6">
                  <c:v>0.81649658092772603</c:v>
                </c:pt>
                <c:pt idx="7">
                  <c:v>0.83666002653407556</c:v>
                </c:pt>
                <c:pt idx="8">
                  <c:v>0.85280286542244177</c:v>
                </c:pt>
                <c:pt idx="9">
                  <c:v>0.8660254037844386</c:v>
                </c:pt>
                <c:pt idx="10">
                  <c:v>0.8770580193070292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類似係数!$A$75</c:f>
              <c:strCache>
                <c:ptCount val="1"/>
                <c:pt idx="0">
                  <c:v>√(ad) / [√(ad) + √(bc)]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類似係数!$B$75:$L$75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0.36602540378443871</c:v>
                </c:pt>
                <c:pt idx="2">
                  <c:v>0.4494897427831781</c:v>
                </c:pt>
                <c:pt idx="3">
                  <c:v>0.5</c:v>
                </c:pt>
                <c:pt idx="4">
                  <c:v>0.53589838486224539</c:v>
                </c:pt>
                <c:pt idx="5">
                  <c:v>0.5635083268962916</c:v>
                </c:pt>
                <c:pt idx="6">
                  <c:v>0.58578643762690497</c:v>
                </c:pt>
                <c:pt idx="7">
                  <c:v>0.60435607626103993</c:v>
                </c:pt>
                <c:pt idx="8">
                  <c:v>0.62020410288672878</c:v>
                </c:pt>
                <c:pt idx="9">
                  <c:v>0.6339745962155614</c:v>
                </c:pt>
                <c:pt idx="10">
                  <c:v>0.64611063213547704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類似係数!$A$73</c:f>
              <c:strCache>
                <c:ptCount val="1"/>
                <c:pt idx="0">
                  <c:v>ad / (ad + bc)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類似係数!$B$73:$L$73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0.25</c:v>
                </c:pt>
                <c:pt idx="2">
                  <c:v>0.4</c:v>
                </c:pt>
                <c:pt idx="3">
                  <c:v>0.5</c:v>
                </c:pt>
                <c:pt idx="4">
                  <c:v>0.5714285714285714</c:v>
                </c:pt>
                <c:pt idx="5">
                  <c:v>0.625</c:v>
                </c:pt>
                <c:pt idx="6">
                  <c:v>0.66666666666666663</c:v>
                </c:pt>
                <c:pt idx="7">
                  <c:v>0.7</c:v>
                </c:pt>
                <c:pt idx="8">
                  <c:v>0.72727272727272729</c:v>
                </c:pt>
                <c:pt idx="9">
                  <c:v>0.75</c:v>
                </c:pt>
                <c:pt idx="10">
                  <c:v>0.76923076923076927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類似係数!$A$77</c:f>
              <c:strCache>
                <c:ptCount val="1"/>
                <c:pt idx="0">
                  <c:v>a / √(a^2 + bc)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類似係数!$B$77:$L$77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0.3779644730092272</c:v>
                </c:pt>
                <c:pt idx="3">
                  <c:v>0.5222329678670935</c:v>
                </c:pt>
                <c:pt idx="4">
                  <c:v>0.63245553203367588</c:v>
                </c:pt>
                <c:pt idx="5">
                  <c:v>0.7142857142857143</c:v>
                </c:pt>
                <c:pt idx="6">
                  <c:v>0.7745966692414834</c:v>
                </c:pt>
                <c:pt idx="7">
                  <c:v>0.81928803037291398</c:v>
                </c:pt>
                <c:pt idx="8">
                  <c:v>0.85280286542244166</c:v>
                </c:pt>
                <c:pt idx="9">
                  <c:v>0.87831006565367986</c:v>
                </c:pt>
                <c:pt idx="10">
                  <c:v>0.89802651013387458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類似係数!$A$78</c:f>
              <c:strCache>
                <c:ptCount val="1"/>
                <c:pt idx="0">
                  <c:v>a / [a + √(bc)]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類似係数!$B$78:$L$78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0.16952084719853724</c:v>
                </c:pt>
                <c:pt idx="2">
                  <c:v>0.28989794855663564</c:v>
                </c:pt>
                <c:pt idx="3">
                  <c:v>0.37979589711327127</c:v>
                </c:pt>
                <c:pt idx="4">
                  <c:v>0.4494897427831781</c:v>
                </c:pt>
                <c:pt idx="5">
                  <c:v>0.50510257216821908</c:v>
                </c:pt>
                <c:pt idx="6">
                  <c:v>0.5505102572168219</c:v>
                </c:pt>
                <c:pt idx="7">
                  <c:v>0.58828574404142031</c:v>
                </c:pt>
                <c:pt idx="8">
                  <c:v>0.62020410288672878</c:v>
                </c:pt>
                <c:pt idx="9">
                  <c:v>0.6475295549105754</c:v>
                </c:pt>
                <c:pt idx="10">
                  <c:v>0.6711869097939005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類似係数!$A$76</c:f>
              <c:strCache>
                <c:ptCount val="1"/>
                <c:pt idx="0">
                  <c:v>a^2 / (a^2 + bc)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類似係数!$B$76:$L$76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0.04</c:v>
                </c:pt>
                <c:pt idx="2">
                  <c:v>0.14285714285714285</c:v>
                </c:pt>
                <c:pt idx="3">
                  <c:v>0.27272727272727271</c:v>
                </c:pt>
                <c:pt idx="4">
                  <c:v>0.4</c:v>
                </c:pt>
                <c:pt idx="5">
                  <c:v>0.51020408163265307</c:v>
                </c:pt>
                <c:pt idx="6">
                  <c:v>0.6</c:v>
                </c:pt>
                <c:pt idx="7">
                  <c:v>0.67123287671232879</c:v>
                </c:pt>
                <c:pt idx="8">
                  <c:v>0.72727272727272729</c:v>
                </c:pt>
                <c:pt idx="9">
                  <c:v>0.77142857142857146</c:v>
                </c:pt>
                <c:pt idx="10">
                  <c:v>0.80645161290322576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39968"/>
        <c:axId val="167162240"/>
      </c:lineChart>
      <c:catAx>
        <c:axId val="16713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62240"/>
        <c:crosses val="autoZero"/>
        <c:auto val="1"/>
        <c:lblAlgn val="ctr"/>
        <c:lblOffset val="100"/>
        <c:noMultiLvlLbl val="0"/>
      </c:catAx>
      <c:valAx>
        <c:axId val="1671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.000_ ;[Red]\-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3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類似係数!$A$82</c:f>
              <c:strCache>
                <c:ptCount val="1"/>
                <c:pt idx="0">
                  <c:v>[√(ad)  - √(bc)] / [√(ad) + √(bc)]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類似係数!$B$82:$L$82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-0.26794919243112264</c:v>
                </c:pt>
                <c:pt idx="2">
                  <c:v>-0.10102051443364377</c:v>
                </c:pt>
                <c:pt idx="3">
                  <c:v>0</c:v>
                </c:pt>
                <c:pt idx="4">
                  <c:v>7.1796769724490894E-2</c:v>
                </c:pt>
                <c:pt idx="5">
                  <c:v>0.1270166537925832</c:v>
                </c:pt>
                <c:pt idx="6">
                  <c:v>0.17157287525380993</c:v>
                </c:pt>
                <c:pt idx="7">
                  <c:v>0.20871215252208003</c:v>
                </c:pt>
                <c:pt idx="8">
                  <c:v>0.24040820577345756</c:v>
                </c:pt>
                <c:pt idx="9">
                  <c:v>0.2679491924311227</c:v>
                </c:pt>
                <c:pt idx="10">
                  <c:v>0.29222126427095402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類似係数!$A$80</c:f>
              <c:strCache>
                <c:ptCount val="1"/>
                <c:pt idx="0">
                  <c:v>(ad - bc) / (ad + bc)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類似係数!$B$80:$L$80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-0.5</c:v>
                </c:pt>
                <c:pt idx="2">
                  <c:v>-0.2</c:v>
                </c:pt>
                <c:pt idx="3">
                  <c:v>0</c:v>
                </c:pt>
                <c:pt idx="4">
                  <c:v>0.14285714285714285</c:v>
                </c:pt>
                <c:pt idx="5">
                  <c:v>0.25</c:v>
                </c:pt>
                <c:pt idx="6">
                  <c:v>0.33333333333333331</c:v>
                </c:pt>
                <c:pt idx="7">
                  <c:v>0.4</c:v>
                </c:pt>
                <c:pt idx="8">
                  <c:v>0.45454545454545453</c:v>
                </c:pt>
                <c:pt idx="9">
                  <c:v>0.5</c:v>
                </c:pt>
                <c:pt idx="10">
                  <c:v>0.53846153846153844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類似係数!$A$81</c:f>
              <c:strCache>
                <c:ptCount val="1"/>
                <c:pt idx="0">
                  <c:v>Sign(ad - bc)* √[|ad - bc| / (ad + bc)]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類似係数!$B$81:$L$81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-0.70710678118654757</c:v>
                </c:pt>
                <c:pt idx="2">
                  <c:v>-0.44721359549995793</c:v>
                </c:pt>
                <c:pt idx="3">
                  <c:v>0</c:v>
                </c:pt>
                <c:pt idx="4">
                  <c:v>0.3779644730092272</c:v>
                </c:pt>
                <c:pt idx="5">
                  <c:v>0.5</c:v>
                </c:pt>
                <c:pt idx="6">
                  <c:v>0.57735026918962573</c:v>
                </c:pt>
                <c:pt idx="7">
                  <c:v>0.63245553203367588</c:v>
                </c:pt>
                <c:pt idx="8">
                  <c:v>0.67419986246324204</c:v>
                </c:pt>
                <c:pt idx="9">
                  <c:v>0.70710678118654757</c:v>
                </c:pt>
                <c:pt idx="10">
                  <c:v>0.73379938570534275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類似係数!$A$85</c:f>
              <c:strCache>
                <c:ptCount val="1"/>
                <c:pt idx="0">
                  <c:v>[a - √(bc)] / [a + √(bc)]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類似係数!$B$85:$L$85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-0.66095830560292557</c:v>
                </c:pt>
                <c:pt idx="2">
                  <c:v>-0.42020410288672871</c:v>
                </c:pt>
                <c:pt idx="3">
                  <c:v>-0.24040820577345748</c:v>
                </c:pt>
                <c:pt idx="4">
                  <c:v>-0.10102051443364377</c:v>
                </c:pt>
                <c:pt idx="5">
                  <c:v>1.020514433643808E-2</c:v>
                </c:pt>
                <c:pt idx="6">
                  <c:v>0.10102051443364385</c:v>
                </c:pt>
                <c:pt idx="7">
                  <c:v>0.17657148808284057</c:v>
                </c:pt>
                <c:pt idx="8">
                  <c:v>0.24040820577345756</c:v>
                </c:pt>
                <c:pt idx="9">
                  <c:v>0.29505910982115069</c:v>
                </c:pt>
                <c:pt idx="10">
                  <c:v>0.34237381958780105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類似係数!$A$83</c:f>
              <c:strCache>
                <c:ptCount val="1"/>
                <c:pt idx="0">
                  <c:v>(a^2 - bc) / (a^2 + bc)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類似係数!$B$83:$L$83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-0.92</c:v>
                </c:pt>
                <c:pt idx="2">
                  <c:v>-0.7142857142857143</c:v>
                </c:pt>
                <c:pt idx="3">
                  <c:v>-0.45454545454545453</c:v>
                </c:pt>
                <c:pt idx="4">
                  <c:v>-0.2</c:v>
                </c:pt>
                <c:pt idx="5">
                  <c:v>2.0408163265306121E-2</c:v>
                </c:pt>
                <c:pt idx="6">
                  <c:v>0.2</c:v>
                </c:pt>
                <c:pt idx="7">
                  <c:v>0.34246575342465752</c:v>
                </c:pt>
                <c:pt idx="8">
                  <c:v>0.45454545454545453</c:v>
                </c:pt>
                <c:pt idx="9">
                  <c:v>0.54285714285714282</c:v>
                </c:pt>
                <c:pt idx="10">
                  <c:v>0.61290322580645162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類似係数!$A$84</c:f>
              <c:strCache>
                <c:ptCount val="1"/>
                <c:pt idx="0">
                  <c:v>Sign(a^2 - bc)*√[|a^2 - bc| / (a^2 + bc)]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類似係数!$B$72:$L$72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類似係数!$B$84:$L$84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-0.95916630466254393</c:v>
                </c:pt>
                <c:pt idx="2">
                  <c:v>-0.84515425472851657</c:v>
                </c:pt>
                <c:pt idx="3">
                  <c:v>-0.67419986246324204</c:v>
                </c:pt>
                <c:pt idx="4">
                  <c:v>-0.44721359549995793</c:v>
                </c:pt>
                <c:pt idx="5">
                  <c:v>0.14285714285714285</c:v>
                </c:pt>
                <c:pt idx="6">
                  <c:v>0.44721359549995793</c:v>
                </c:pt>
                <c:pt idx="7">
                  <c:v>0.58520573598065284</c:v>
                </c:pt>
                <c:pt idx="8">
                  <c:v>0.67419986246324204</c:v>
                </c:pt>
                <c:pt idx="9">
                  <c:v>0.73678839761300718</c:v>
                </c:pt>
                <c:pt idx="10">
                  <c:v>0.78288136125881269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19200"/>
        <c:axId val="167220736"/>
      </c:lineChart>
      <c:catAx>
        <c:axId val="1672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220736"/>
        <c:crosses val="autoZero"/>
        <c:auto val="1"/>
        <c:lblAlgn val="ctr"/>
        <c:lblOffset val="100"/>
        <c:noMultiLvlLbl val="0"/>
      </c:catAx>
      <c:valAx>
        <c:axId val="167220736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.000_ ;[Red]\-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21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実測値</a:t>
            </a:r>
          </a:p>
        </c:rich>
      </c:tx>
      <c:layout>
        <c:manualLayout>
          <c:xMode val="edge"/>
          <c:yMode val="edge"/>
          <c:x val="0.73105448080970703"/>
          <c:y val="7.7107430536700147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χ二乗!$A$7</c:f>
              <c:strCache>
                <c:ptCount val="1"/>
                <c:pt idx="0">
                  <c:v>方法A</c:v>
                </c:pt>
              </c:strCache>
            </c:strRef>
          </c:tx>
          <c:cat>
            <c:strRef>
              <c:f>χ二乗!$B$6:$C$6</c:f>
              <c:strCache>
                <c:ptCount val="2"/>
                <c:pt idx="0">
                  <c:v>効果がある</c:v>
                </c:pt>
                <c:pt idx="1">
                  <c:v>効果がない</c:v>
                </c:pt>
              </c:strCache>
            </c:strRef>
          </c:cat>
          <c:val>
            <c:numRef>
              <c:f>χ二乗!$B$7:$C$7</c:f>
              <c:numCache>
                <c:formatCode>0\ \ \ \ \ </c:formatCode>
                <c:ptCount val="2"/>
                <c:pt idx="0">
                  <c:v>59</c:v>
                </c:pt>
                <c:pt idx="1">
                  <c:v>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χ二乗!$A$8</c:f>
              <c:strCache>
                <c:ptCount val="1"/>
                <c:pt idx="0">
                  <c:v>方法B</c:v>
                </c:pt>
              </c:strCache>
            </c:strRef>
          </c:tx>
          <c:cat>
            <c:strRef>
              <c:f>χ二乗!$B$6:$C$6</c:f>
              <c:strCache>
                <c:ptCount val="2"/>
                <c:pt idx="0">
                  <c:v>効果がある</c:v>
                </c:pt>
                <c:pt idx="1">
                  <c:v>効果がない</c:v>
                </c:pt>
              </c:strCache>
            </c:strRef>
          </c:cat>
          <c:val>
            <c:numRef>
              <c:f>χ二乗!$B$8:$C$8</c:f>
              <c:numCache>
                <c:formatCode>0\ \ \ \ \ </c:formatCode>
                <c:ptCount val="2"/>
                <c:pt idx="0">
                  <c:v>49</c:v>
                </c:pt>
                <c:pt idx="1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75712"/>
        <c:axId val="167330176"/>
      </c:lineChart>
      <c:catAx>
        <c:axId val="1534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330176"/>
        <c:crosses val="autoZero"/>
        <c:auto val="1"/>
        <c:lblAlgn val="ctr"/>
        <c:lblOffset val="100"/>
        <c:noMultiLvlLbl val="0"/>
      </c:catAx>
      <c:valAx>
        <c:axId val="167330176"/>
        <c:scaling>
          <c:orientation val="minMax"/>
        </c:scaling>
        <c:delete val="0"/>
        <c:axPos val="l"/>
        <c:majorGridlines/>
        <c:numFmt formatCode="0\ \ \ \ \ " sourceLinked="1"/>
        <c:majorTickMark val="out"/>
        <c:minorTickMark val="none"/>
        <c:tickLblPos val="nextTo"/>
        <c:crossAx val="15347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実測値</a:t>
            </a:r>
            <a:endParaRPr lang="ja-JP" altLang="en-US"/>
          </a:p>
        </c:rich>
      </c:tx>
      <c:layout>
        <c:manualLayout>
          <c:xMode val="edge"/>
          <c:yMode val="edge"/>
          <c:x val="0.81877436288205907"/>
          <c:y val="5.555532532117695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χ二乗!$A$31</c:f>
              <c:strCache>
                <c:ptCount val="1"/>
                <c:pt idx="0">
                  <c:v>方法A</c:v>
                </c:pt>
              </c:strCache>
            </c:strRef>
          </c:tx>
          <c:cat>
            <c:strRef>
              <c:f>χ二乗!$B$30:$C$30</c:f>
              <c:strCache>
                <c:ptCount val="2"/>
                <c:pt idx="0">
                  <c:v>効果がある</c:v>
                </c:pt>
                <c:pt idx="1">
                  <c:v>効果がない</c:v>
                </c:pt>
              </c:strCache>
            </c:strRef>
          </c:cat>
          <c:val>
            <c:numRef>
              <c:f>χ二乗!$B$31:$C$31</c:f>
              <c:numCache>
                <c:formatCode>0\ \ \ \ \ </c:formatCode>
                <c:ptCount val="2"/>
                <c:pt idx="0">
                  <c:v>83</c:v>
                </c:pt>
                <c:pt idx="1">
                  <c:v>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χ二乗!$A$32</c:f>
              <c:strCache>
                <c:ptCount val="1"/>
                <c:pt idx="0">
                  <c:v>方法B</c:v>
                </c:pt>
              </c:strCache>
            </c:strRef>
          </c:tx>
          <c:cat>
            <c:strRef>
              <c:f>χ二乗!$B$30:$C$30</c:f>
              <c:strCache>
                <c:ptCount val="2"/>
                <c:pt idx="0">
                  <c:v>効果がある</c:v>
                </c:pt>
                <c:pt idx="1">
                  <c:v>効果がない</c:v>
                </c:pt>
              </c:strCache>
            </c:strRef>
          </c:cat>
          <c:val>
            <c:numRef>
              <c:f>χ二乗!$B$32:$C$32</c:f>
              <c:numCache>
                <c:formatCode>0\ \ \ \ \ </c:formatCode>
                <c:ptCount val="2"/>
                <c:pt idx="0">
                  <c:v>71</c:v>
                </c:pt>
                <c:pt idx="1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74208"/>
        <c:axId val="167257216"/>
      </c:lineChart>
      <c:catAx>
        <c:axId val="16737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257216"/>
        <c:crosses val="autoZero"/>
        <c:auto val="1"/>
        <c:lblAlgn val="ctr"/>
        <c:lblOffset val="100"/>
        <c:noMultiLvlLbl val="0"/>
      </c:catAx>
      <c:valAx>
        <c:axId val="167257216"/>
        <c:scaling>
          <c:orientation val="minMax"/>
        </c:scaling>
        <c:delete val="0"/>
        <c:axPos val="l"/>
        <c:majorGridlines/>
        <c:numFmt formatCode="0\ \ \ \ \ " sourceLinked="1"/>
        <c:majorTickMark val="out"/>
        <c:minorTickMark val="none"/>
        <c:tickLblPos val="nextTo"/>
        <c:crossAx val="16737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Lit>
              <c:formatCode>General</c:formatCode>
              <c:ptCount val="5"/>
              <c:pt idx="0">
                <c:v>-0.31155790588031657</c:v>
              </c:pt>
              <c:pt idx="1">
                <c:v>1.9445510677357687</c:v>
              </c:pt>
              <c:pt idx="2">
                <c:v>-0.74129294847385663</c:v>
              </c:pt>
              <c:pt idx="3">
                <c:v>-0.74129294847385663</c:v>
              </c:pt>
              <c:pt idx="4">
                <c:v>-0.15040726490773904</c:v>
              </c:pt>
            </c:numLit>
          </c:xVal>
          <c:yVal>
            <c:numLit>
              <c:formatCode>General</c:formatCode>
              <c:ptCount val="5"/>
              <c:pt idx="0">
                <c:v>-0.88043478260869568</c:v>
              </c:pt>
              <c:pt idx="1">
                <c:v>1.8369565217391304</c:v>
              </c:pt>
              <c:pt idx="2">
                <c:v>0.1521739130434783</c:v>
              </c:pt>
              <c:pt idx="3">
                <c:v>-0.88043478260869568</c:v>
              </c:pt>
              <c:pt idx="4">
                <c:v>-0.22826086956521738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917824"/>
        <c:axId val="165919360"/>
      </c:scatterChart>
      <c:valAx>
        <c:axId val="16591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919360"/>
        <c:crosses val="autoZero"/>
        <c:crossBetween val="midCat"/>
      </c:valAx>
      <c:valAx>
        <c:axId val="165919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5917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相関係数!$C$1</c:f>
              <c:strCache>
                <c:ptCount val="1"/>
                <c:pt idx="0">
                  <c:v>2 Sevilla</c:v>
                </c:pt>
              </c:strCache>
            </c:strRef>
          </c:tx>
          <c:spPr>
            <a:ln w="28575">
              <a:noFill/>
            </a:ln>
          </c:spPr>
          <c:xVal>
            <c:numRef>
              <c:f>相関係数!$B$2:$B$6</c:f>
              <c:numCache>
                <c:formatCode>General</c:formatCode>
                <c:ptCount val="5"/>
                <c:pt idx="0">
                  <c:v>151</c:v>
                </c:pt>
                <c:pt idx="1">
                  <c:v>38</c:v>
                </c:pt>
                <c:pt idx="2">
                  <c:v>202</c:v>
                </c:pt>
                <c:pt idx="3">
                  <c:v>105</c:v>
                </c:pt>
                <c:pt idx="4">
                  <c:v>54</c:v>
                </c:pt>
              </c:numCache>
            </c:numRef>
          </c:xVal>
          <c:yVal>
            <c:numRef>
              <c:f>相関係数!$C$2:$C$6</c:f>
              <c:numCache>
                <c:formatCode>General</c:formatCode>
                <c:ptCount val="5"/>
                <c:pt idx="0">
                  <c:v>163</c:v>
                </c:pt>
                <c:pt idx="1">
                  <c:v>45</c:v>
                </c:pt>
                <c:pt idx="2">
                  <c:v>195</c:v>
                </c:pt>
                <c:pt idx="3">
                  <c:v>81</c:v>
                </c:pt>
                <c:pt idx="4">
                  <c:v>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943168"/>
        <c:axId val="165944704"/>
      </c:scatterChart>
      <c:valAx>
        <c:axId val="1659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944704"/>
        <c:crosses val="autoZero"/>
        <c:crossBetween val="midCat"/>
      </c:valAx>
      <c:valAx>
        <c:axId val="1659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94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相関係数!$D$2:$D$6</c:f>
              <c:numCache>
                <c:formatCode>.00_ ;[Red]\-.00\ </c:formatCode>
                <c:ptCount val="5"/>
                <c:pt idx="0">
                  <c:v>0.67421809368949881</c:v>
                </c:pt>
                <c:pt idx="1">
                  <c:v>-1.1839927498937539</c:v>
                </c:pt>
                <c:pt idx="2">
                  <c:v>1.5128796248642411</c:v>
                </c:pt>
                <c:pt idx="3">
                  <c:v>-8.222171874262181E-2</c:v>
                </c:pt>
                <c:pt idx="4">
                  <c:v>-0.92088324991736425</c:v>
                </c:pt>
              </c:numCache>
            </c:numRef>
          </c:xVal>
          <c:yVal>
            <c:numRef>
              <c:f>相関係数!$E$2:$E$6</c:f>
              <c:numCache>
                <c:formatCode>.00_ ;[Red]\-.00\ </c:formatCode>
                <c:ptCount val="5"/>
                <c:pt idx="0">
                  <c:v>0.92217770027661461</c:v>
                </c:pt>
                <c:pt idx="1">
                  <c:v>-0.98021685623807975</c:v>
                </c:pt>
                <c:pt idx="2">
                  <c:v>1.4380813088229725</c:v>
                </c:pt>
                <c:pt idx="3">
                  <c:v>-0.39982529662342725</c:v>
                </c:pt>
                <c:pt idx="4">
                  <c:v>-0.98021685623807975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983360"/>
        <c:axId val="165984896"/>
      </c:scatterChart>
      <c:valAx>
        <c:axId val="165983360"/>
        <c:scaling>
          <c:orientation val="minMax"/>
        </c:scaling>
        <c:delete val="0"/>
        <c:axPos val="b"/>
        <c:numFmt formatCode=".00_ ;[Red]\-.00\ " sourceLinked="1"/>
        <c:majorTickMark val="out"/>
        <c:minorTickMark val="none"/>
        <c:tickLblPos val="nextTo"/>
        <c:crossAx val="165984896"/>
        <c:crosses val="autoZero"/>
        <c:crossBetween val="midCat"/>
      </c:valAx>
      <c:valAx>
        <c:axId val="165984896"/>
        <c:scaling>
          <c:orientation val="minMax"/>
        </c:scaling>
        <c:delete val="0"/>
        <c:axPos val="l"/>
        <c:majorGridlines/>
        <c:numFmt formatCode=".00_ ;[Red]\-.00\ " sourceLinked="1"/>
        <c:majorTickMark val="out"/>
        <c:minorTickMark val="none"/>
        <c:tickLblPos val="nextTo"/>
        <c:crossAx val="165983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類似係数!$H$1:$K$1</c:f>
              <c:strCache>
                <c:ptCount val="4"/>
                <c:pt idx="0">
                  <c:v>a++</c:v>
                </c:pt>
                <c:pt idx="1">
                  <c:v>b+-</c:v>
                </c:pt>
                <c:pt idx="2">
                  <c:v>c-+</c:v>
                </c:pt>
                <c:pt idx="3">
                  <c:v>d--</c:v>
                </c:pt>
              </c:strCache>
            </c:strRef>
          </c:cat>
          <c:val>
            <c:numRef>
              <c:f>類似係数!$H$17:$K$17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98592"/>
        <c:axId val="166744448"/>
      </c:radarChart>
      <c:catAx>
        <c:axId val="1663985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6744448"/>
        <c:crosses val="autoZero"/>
        <c:auto val="0"/>
        <c:lblAlgn val="ctr"/>
        <c:lblOffset val="100"/>
        <c:noMultiLvlLbl val="0"/>
      </c:catAx>
      <c:valAx>
        <c:axId val="1667444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639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類似係数!$H$1:$K$1</c:f>
              <c:strCache>
                <c:ptCount val="4"/>
                <c:pt idx="0">
                  <c:v>a++</c:v>
                </c:pt>
                <c:pt idx="1">
                  <c:v>b+-</c:v>
                </c:pt>
                <c:pt idx="2">
                  <c:v>c-+</c:v>
                </c:pt>
                <c:pt idx="3">
                  <c:v>d--</c:v>
                </c:pt>
              </c:strCache>
            </c:strRef>
          </c:cat>
          <c:val>
            <c:numRef>
              <c:f>類似係数!$H$32:$K$32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64544"/>
        <c:axId val="166766080"/>
      </c:radarChart>
      <c:catAx>
        <c:axId val="166764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6766080"/>
        <c:crosses val="autoZero"/>
        <c:auto val="0"/>
        <c:lblAlgn val="ctr"/>
        <c:lblOffset val="100"/>
        <c:noMultiLvlLbl val="0"/>
      </c:catAx>
      <c:valAx>
        <c:axId val="1667660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676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類似係数!$A$50</c:f>
              <c:strCache>
                <c:ptCount val="1"/>
                <c:pt idx="0">
                  <c:v>a) Simple match
= (a+d)/(a+b+c+d)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類似係数!$B$50:$L$50</c:f>
              <c:numCache>
                <c:formatCode>.000_ ;[Red]\-.000\ </c:formatCode>
                <c:ptCount val="11"/>
                <c:pt idx="0">
                  <c:v>0.44444444444444442</c:v>
                </c:pt>
                <c:pt idx="1">
                  <c:v>0.47368421052631576</c:v>
                </c:pt>
                <c:pt idx="2">
                  <c:v>0.5</c:v>
                </c:pt>
                <c:pt idx="3">
                  <c:v>0.52380952380952384</c:v>
                </c:pt>
                <c:pt idx="4">
                  <c:v>0.54545454545454541</c:v>
                </c:pt>
                <c:pt idx="5">
                  <c:v>0.56521739130434778</c:v>
                </c:pt>
                <c:pt idx="6">
                  <c:v>0.58333333333333337</c:v>
                </c:pt>
                <c:pt idx="7">
                  <c:v>0.6</c:v>
                </c:pt>
                <c:pt idx="8">
                  <c:v>0.61538461538461542</c:v>
                </c:pt>
                <c:pt idx="9">
                  <c:v>0.62962962962962965</c:v>
                </c:pt>
                <c:pt idx="10">
                  <c:v>0.6428571428571429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類似係数!$A$55</c:f>
              <c:strCache>
                <c:ptCount val="1"/>
                <c:pt idx="0">
                  <c:v>f) Hamann
=[(a+d)-(b+c)]/[(a+d)+(b+c)]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類似係数!$B$55:$L$55</c:f>
              <c:numCache>
                <c:formatCode>.000_ ;[Red]\-.000\ </c:formatCode>
                <c:ptCount val="11"/>
                <c:pt idx="0">
                  <c:v>-0.1111111111111111</c:v>
                </c:pt>
                <c:pt idx="1">
                  <c:v>-5.2631578947368418E-2</c:v>
                </c:pt>
                <c:pt idx="2">
                  <c:v>0</c:v>
                </c:pt>
                <c:pt idx="3">
                  <c:v>4.7619047619047616E-2</c:v>
                </c:pt>
                <c:pt idx="4">
                  <c:v>9.0909090909090912E-2</c:v>
                </c:pt>
                <c:pt idx="5">
                  <c:v>0.13043478260869565</c:v>
                </c:pt>
                <c:pt idx="6">
                  <c:v>0.16666666666666666</c:v>
                </c:pt>
                <c:pt idx="7">
                  <c:v>0.2</c:v>
                </c:pt>
                <c:pt idx="8">
                  <c:v>0.23076923076923078</c:v>
                </c:pt>
                <c:pt idx="9">
                  <c:v>0.25925925925925924</c:v>
                </c:pt>
                <c:pt idx="10">
                  <c:v>0.2857142857142857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類似係数!$A$51</c:f>
              <c:strCache>
                <c:ptCount val="1"/>
                <c:pt idx="0">
                  <c:v>b) Russel and Rao 
= a/(a+b+c+d) 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類似係数!$B$51:$L$51</c:f>
              <c:numCache>
                <c:formatCode>.000_ ;[Red]\-.000\ </c:formatCode>
                <c:ptCount val="11"/>
                <c:pt idx="0">
                  <c:v>0</c:v>
                </c:pt>
                <c:pt idx="1">
                  <c:v>5.2631578947368418E-2</c:v>
                </c:pt>
                <c:pt idx="2">
                  <c:v>0.1</c:v>
                </c:pt>
                <c:pt idx="3">
                  <c:v>0.14285714285714285</c:v>
                </c:pt>
                <c:pt idx="4">
                  <c:v>0.18181818181818182</c:v>
                </c:pt>
                <c:pt idx="5">
                  <c:v>0.21739130434782608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0.30769230769230771</c:v>
                </c:pt>
                <c:pt idx="9">
                  <c:v>0.33333333333333331</c:v>
                </c:pt>
                <c:pt idx="10">
                  <c:v>0.35714285714285715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類似係数!$A$52</c:f>
              <c:strCache>
                <c:ptCount val="1"/>
                <c:pt idx="0">
                  <c:v>c) Jaccard
=a/(a+b+c)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類似係数!$B$52:$L$52</c:f>
              <c:numCache>
                <c:formatCode>.000_ ;[Red]\-.000\ </c:formatCode>
                <c:ptCount val="11"/>
                <c:pt idx="0">
                  <c:v>0</c:v>
                </c:pt>
                <c:pt idx="1">
                  <c:v>9.0909090909090912E-2</c:v>
                </c:pt>
                <c:pt idx="2">
                  <c:v>0.16666666666666666</c:v>
                </c:pt>
                <c:pt idx="3">
                  <c:v>0.23076923076923078</c:v>
                </c:pt>
                <c:pt idx="4">
                  <c:v>0.2857142857142857</c:v>
                </c:pt>
                <c:pt idx="5">
                  <c:v>0.33333333333333331</c:v>
                </c:pt>
                <c:pt idx="6">
                  <c:v>0.375</c:v>
                </c:pt>
                <c:pt idx="7">
                  <c:v>0.41176470588235292</c:v>
                </c:pt>
                <c:pt idx="8">
                  <c:v>0.44444444444444442</c:v>
                </c:pt>
                <c:pt idx="9">
                  <c:v>0.47368421052631576</c:v>
                </c:pt>
                <c:pt idx="10">
                  <c:v>0.5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類似係数!$A$53</c:f>
              <c:strCache>
                <c:ptCount val="1"/>
                <c:pt idx="0">
                  <c:v>d) Dice
=2a/(2a+b+c)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類似係数!$B$53:$L$53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0.16666666666666666</c:v>
                </c:pt>
                <c:pt idx="2">
                  <c:v>0.2857142857142857</c:v>
                </c:pt>
                <c:pt idx="3">
                  <c:v>0.375</c:v>
                </c:pt>
                <c:pt idx="4">
                  <c:v>0.44444444444444442</c:v>
                </c:pt>
                <c:pt idx="5">
                  <c:v>0.5</c:v>
                </c:pt>
                <c:pt idx="6">
                  <c:v>0.54545454545454541</c:v>
                </c:pt>
                <c:pt idx="7">
                  <c:v>0.58333333333333337</c:v>
                </c:pt>
                <c:pt idx="8">
                  <c:v>0.61538461538461542</c:v>
                </c:pt>
                <c:pt idx="9">
                  <c:v>0.6428571428571429</c:v>
                </c:pt>
                <c:pt idx="10">
                  <c:v>0.66666666666666663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類似係数!$A$54</c:f>
              <c:strCache>
                <c:ptCount val="1"/>
                <c:pt idx="0">
                  <c:v>e) Yule
=(ad-bc)/(ad+bc)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類似係数!$B$54:$L$54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-0.5</c:v>
                </c:pt>
                <c:pt idx="2">
                  <c:v>-0.2</c:v>
                </c:pt>
                <c:pt idx="3">
                  <c:v>0</c:v>
                </c:pt>
                <c:pt idx="4">
                  <c:v>0.14285714285714285</c:v>
                </c:pt>
                <c:pt idx="5">
                  <c:v>0.25</c:v>
                </c:pt>
                <c:pt idx="6">
                  <c:v>0.33333333333333331</c:v>
                </c:pt>
                <c:pt idx="7">
                  <c:v>0.4</c:v>
                </c:pt>
                <c:pt idx="8">
                  <c:v>0.45454545454545453</c:v>
                </c:pt>
                <c:pt idx="9">
                  <c:v>0.5</c:v>
                </c:pt>
                <c:pt idx="10">
                  <c:v>0.53846153846153844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類似係数!$A$56</c:f>
              <c:strCache>
                <c:ptCount val="1"/>
                <c:pt idx="0">
                  <c:v>g) Phi
=(ad-bc) /sqr[(a+b)(c+d)(a+c)(b+d)]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類似係数!$B$56:$L$56</c:f>
              <c:numCache>
                <c:formatCode>.000_ ;[Red]\-.000\ </c:formatCode>
                <c:ptCount val="11"/>
                <c:pt idx="0">
                  <c:v>-0.3779644730092272</c:v>
                </c:pt>
                <c:pt idx="1">
                  <c:v>-0.20865621238292043</c:v>
                </c:pt>
                <c:pt idx="2">
                  <c:v>-8.9087080637474794E-2</c:v>
                </c:pt>
                <c:pt idx="3">
                  <c:v>0</c:v>
                </c:pt>
                <c:pt idx="4">
                  <c:v>6.9006555934235422E-2</c:v>
                </c:pt>
                <c:pt idx="5">
                  <c:v>0.12406456138646277</c:v>
                </c:pt>
                <c:pt idx="6">
                  <c:v>0.1690308509457033</c:v>
                </c:pt>
                <c:pt idx="7">
                  <c:v>0.20645590963700367</c:v>
                </c:pt>
                <c:pt idx="8">
                  <c:v>0.23809523809523808</c:v>
                </c:pt>
                <c:pt idx="9">
                  <c:v>0.26519741765271837</c:v>
                </c:pt>
                <c:pt idx="10">
                  <c:v>0.28867513459481287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類似係数!$A$57</c:f>
              <c:strCache>
                <c:ptCount val="1"/>
                <c:pt idx="0">
                  <c:v>h) Ochiai
=a/sqr[(a+b)(a+c)]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類似係数!$B$57:$L$57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0.1690308509457033</c:v>
                </c:pt>
                <c:pt idx="2">
                  <c:v>0.28867513459481292</c:v>
                </c:pt>
                <c:pt idx="3">
                  <c:v>0.3779644730092272</c:v>
                </c:pt>
                <c:pt idx="4">
                  <c:v>0.44721359549995793</c:v>
                </c:pt>
                <c:pt idx="5">
                  <c:v>0.50251890762960605</c:v>
                </c:pt>
                <c:pt idx="6">
                  <c:v>0.54772255750516607</c:v>
                </c:pt>
                <c:pt idx="7">
                  <c:v>0.58536940700496354</c:v>
                </c:pt>
                <c:pt idx="8">
                  <c:v>0.61721339984836765</c:v>
                </c:pt>
                <c:pt idx="9">
                  <c:v>0.64450338663548956</c:v>
                </c:pt>
                <c:pt idx="10">
                  <c:v>0.66815310478106094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類似係数!$A$58</c:f>
              <c:strCache>
                <c:ptCount val="1"/>
                <c:pt idx="0">
                  <c:v>i) Preference
=[2a-(b+c)]/[2a+(b+c)]</c:v>
                </c:pt>
              </c:strCache>
            </c:strRef>
          </c:tx>
          <c:marker>
            <c:symbol val="none"/>
          </c:marker>
          <c:cat>
            <c:numRef>
              <c:f>類似係数!$B$46:$L$46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類似係数!$B$58:$L$58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-0.66666666666666663</c:v>
                </c:pt>
                <c:pt idx="2">
                  <c:v>-0.42857142857142855</c:v>
                </c:pt>
                <c:pt idx="3">
                  <c:v>-0.25</c:v>
                </c:pt>
                <c:pt idx="4">
                  <c:v>-0.1111111111111111</c:v>
                </c:pt>
                <c:pt idx="5">
                  <c:v>0</c:v>
                </c:pt>
                <c:pt idx="6">
                  <c:v>9.0909090909090912E-2</c:v>
                </c:pt>
                <c:pt idx="7">
                  <c:v>0.16666666666666666</c:v>
                </c:pt>
                <c:pt idx="8">
                  <c:v>0.23076923076923078</c:v>
                </c:pt>
                <c:pt idx="9">
                  <c:v>0.2857142857142857</c:v>
                </c:pt>
                <c:pt idx="10">
                  <c:v>0.33333333333333331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23424"/>
        <c:axId val="166824960"/>
      </c:lineChart>
      <c:catAx>
        <c:axId val="166823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/>
        </c:spPr>
        <c:crossAx val="166824960"/>
        <c:crosses val="autoZero"/>
        <c:auto val="1"/>
        <c:lblAlgn val="ctr"/>
        <c:lblOffset val="100"/>
        <c:noMultiLvlLbl val="0"/>
      </c:catAx>
      <c:valAx>
        <c:axId val="166824960"/>
        <c:scaling>
          <c:orientation val="minMax"/>
          <c:max val="1"/>
          <c:min val="-1"/>
        </c:scaling>
        <c:delete val="0"/>
        <c:axPos val="l"/>
        <c:majorGridlines/>
        <c:numFmt formatCode=".000_ ;[Red]\-.000\ " sourceLinked="1"/>
        <c:majorTickMark val="none"/>
        <c:minorTickMark val="none"/>
        <c:tickLblPos val="nextTo"/>
        <c:spPr>
          <a:ln>
            <a:noFill/>
          </a:ln>
        </c:spPr>
        <c:crossAx val="166823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類似係数!$A$62</c:f>
              <c:strCache>
                <c:ptCount val="1"/>
                <c:pt idx="0">
                  <c:v>(a+d) / (a+b+c+d)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類似係数!$B$61:$L$61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類似係数!$B$62:$L$62</c:f>
              <c:numCache>
                <c:formatCode>.000_ ;[Red]\-.000\ </c:formatCode>
                <c:ptCount val="11"/>
                <c:pt idx="0">
                  <c:v>0.44444444444444442</c:v>
                </c:pt>
                <c:pt idx="1">
                  <c:v>0.47368421052631576</c:v>
                </c:pt>
                <c:pt idx="2">
                  <c:v>0.5</c:v>
                </c:pt>
                <c:pt idx="3">
                  <c:v>0.52380952380952384</c:v>
                </c:pt>
                <c:pt idx="4">
                  <c:v>0.54545454545454541</c:v>
                </c:pt>
                <c:pt idx="5">
                  <c:v>0.56521739130434778</c:v>
                </c:pt>
                <c:pt idx="6">
                  <c:v>0.58333333333333337</c:v>
                </c:pt>
                <c:pt idx="7">
                  <c:v>0.6</c:v>
                </c:pt>
                <c:pt idx="8">
                  <c:v>0.61538461538461542</c:v>
                </c:pt>
                <c:pt idx="9">
                  <c:v>0.62962962962962965</c:v>
                </c:pt>
                <c:pt idx="10">
                  <c:v>0.6428571428571429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類似係数!$A$64</c:f>
              <c:strCache>
                <c:ptCount val="1"/>
                <c:pt idx="0">
                  <c:v>2a / (2a+b+c)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類似係数!$B$61:$L$61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類似係数!$B$64:$L$64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0.16666666666666666</c:v>
                </c:pt>
                <c:pt idx="2">
                  <c:v>0.2857142857142857</c:v>
                </c:pt>
                <c:pt idx="3">
                  <c:v>0.375</c:v>
                </c:pt>
                <c:pt idx="4">
                  <c:v>0.44444444444444442</c:v>
                </c:pt>
                <c:pt idx="5">
                  <c:v>0.5</c:v>
                </c:pt>
                <c:pt idx="6">
                  <c:v>0.54545454545454541</c:v>
                </c:pt>
                <c:pt idx="7">
                  <c:v>0.58333333333333337</c:v>
                </c:pt>
                <c:pt idx="8">
                  <c:v>0.61538461538461542</c:v>
                </c:pt>
                <c:pt idx="9">
                  <c:v>0.6428571428571429</c:v>
                </c:pt>
                <c:pt idx="10">
                  <c:v>0.66666666666666663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類似係数!$A$66</c:f>
              <c:strCache>
                <c:ptCount val="1"/>
                <c:pt idx="0">
                  <c:v>3a / (3a+b+c+d)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類似係数!$B$61:$L$61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類似係数!$B$66:$L$66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0.14285714285714285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0.4</c:v>
                </c:pt>
                <c:pt idx="5">
                  <c:v>0.45454545454545453</c:v>
                </c:pt>
                <c:pt idx="6">
                  <c:v>0.5</c:v>
                </c:pt>
                <c:pt idx="7">
                  <c:v>0.53846153846153844</c:v>
                </c:pt>
                <c:pt idx="8">
                  <c:v>0.5714285714285714</c:v>
                </c:pt>
                <c:pt idx="9">
                  <c:v>0.6</c:v>
                </c:pt>
                <c:pt idx="10">
                  <c:v>0.625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類似係数!$A$67</c:f>
              <c:strCache>
                <c:ptCount val="1"/>
                <c:pt idx="0">
                  <c:v>(a+d-b-c) / (a+b+c+d)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類似係数!$B$61:$L$61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類似係数!$B$67:$L$67</c:f>
              <c:numCache>
                <c:formatCode>.000_ ;[Red]\-.000\ </c:formatCode>
                <c:ptCount val="11"/>
                <c:pt idx="0">
                  <c:v>-0.1111111111111111</c:v>
                </c:pt>
                <c:pt idx="1">
                  <c:v>-5.2631578947368418E-2</c:v>
                </c:pt>
                <c:pt idx="2">
                  <c:v>0</c:v>
                </c:pt>
                <c:pt idx="3">
                  <c:v>4.7619047619047616E-2</c:v>
                </c:pt>
                <c:pt idx="4">
                  <c:v>9.0909090909090912E-2</c:v>
                </c:pt>
                <c:pt idx="5">
                  <c:v>0.13043478260869565</c:v>
                </c:pt>
                <c:pt idx="6">
                  <c:v>0.16666666666666666</c:v>
                </c:pt>
                <c:pt idx="7">
                  <c:v>0.2</c:v>
                </c:pt>
                <c:pt idx="8">
                  <c:v>0.23076923076923078</c:v>
                </c:pt>
                <c:pt idx="9">
                  <c:v>0.25925925925925924</c:v>
                </c:pt>
                <c:pt idx="10">
                  <c:v>0.2857142857142857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類似係数!$A$65</c:f>
              <c:strCache>
                <c:ptCount val="1"/>
                <c:pt idx="0">
                  <c:v>a / (a+b+c+d)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類似係数!$B$61:$L$61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類似係数!$B$65:$L$65</c:f>
              <c:numCache>
                <c:formatCode>.000_ ;[Red]\-.000\ </c:formatCode>
                <c:ptCount val="11"/>
                <c:pt idx="0">
                  <c:v>0</c:v>
                </c:pt>
                <c:pt idx="1">
                  <c:v>5.2631578947368418E-2</c:v>
                </c:pt>
                <c:pt idx="2">
                  <c:v>0.1</c:v>
                </c:pt>
                <c:pt idx="3">
                  <c:v>0.14285714285714285</c:v>
                </c:pt>
                <c:pt idx="4">
                  <c:v>0.18181818181818182</c:v>
                </c:pt>
                <c:pt idx="5">
                  <c:v>0.21739130434782608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0.30769230769230771</c:v>
                </c:pt>
                <c:pt idx="9">
                  <c:v>0.33333333333333331</c:v>
                </c:pt>
                <c:pt idx="10">
                  <c:v>0.35714285714285715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類似係数!$A$69</c:f>
              <c:strCache>
                <c:ptCount val="1"/>
                <c:pt idx="0">
                  <c:v>(2a-b-c) / (2a+b+c)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類似係数!$B$61:$L$61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類似係数!$B$69:$L$69</c:f>
              <c:numCache>
                <c:formatCode>.000_ ;[Red]\-.000\ </c:formatCode>
                <c:ptCount val="11"/>
                <c:pt idx="0">
                  <c:v>-1</c:v>
                </c:pt>
                <c:pt idx="1">
                  <c:v>-0.66666666666666663</c:v>
                </c:pt>
                <c:pt idx="2">
                  <c:v>-0.42857142857142855</c:v>
                </c:pt>
                <c:pt idx="3">
                  <c:v>-0.25</c:v>
                </c:pt>
                <c:pt idx="4">
                  <c:v>-0.1111111111111111</c:v>
                </c:pt>
                <c:pt idx="5">
                  <c:v>0</c:v>
                </c:pt>
                <c:pt idx="6">
                  <c:v>9.0909090909090912E-2</c:v>
                </c:pt>
                <c:pt idx="7">
                  <c:v>0.16666666666666666</c:v>
                </c:pt>
                <c:pt idx="8">
                  <c:v>0.23076923076923078</c:v>
                </c:pt>
                <c:pt idx="9">
                  <c:v>0.2857142857142857</c:v>
                </c:pt>
                <c:pt idx="10">
                  <c:v>0.33333333333333331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66240"/>
        <c:axId val="167076224"/>
      </c:lineChart>
      <c:catAx>
        <c:axId val="1670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076224"/>
        <c:crosses val="autoZero"/>
        <c:auto val="1"/>
        <c:lblAlgn val="ctr"/>
        <c:lblOffset val="100"/>
        <c:noMultiLvlLbl val="0"/>
      </c:catAx>
      <c:valAx>
        <c:axId val="167076224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.000_ ;[Red]\-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06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類似係数!$A$91</c:f>
              <c:strCache>
                <c:ptCount val="1"/>
                <c:pt idx="0">
                  <c:v>a / √[(a+b)(a+c)]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類似係数!$B$91:$L$91</c:f>
              <c:numCache>
                <c:formatCode>.000_ ;[Red]\-.000\ </c:formatCode>
                <c:ptCount val="11"/>
                <c:pt idx="0">
                  <c:v>0</c:v>
                </c:pt>
                <c:pt idx="1">
                  <c:v>0.1690308509457033</c:v>
                </c:pt>
                <c:pt idx="2">
                  <c:v>0.28867513459481292</c:v>
                </c:pt>
                <c:pt idx="3">
                  <c:v>0.3779644730092272</c:v>
                </c:pt>
                <c:pt idx="4">
                  <c:v>0.44721359549995793</c:v>
                </c:pt>
                <c:pt idx="5">
                  <c:v>0.50251890762960605</c:v>
                </c:pt>
                <c:pt idx="6">
                  <c:v>0.54772255750516607</c:v>
                </c:pt>
                <c:pt idx="7">
                  <c:v>0.58536940700496354</c:v>
                </c:pt>
                <c:pt idx="8">
                  <c:v>0.61721339984836765</c:v>
                </c:pt>
                <c:pt idx="9">
                  <c:v>0.64450338663548956</c:v>
                </c:pt>
                <c:pt idx="10">
                  <c:v>0.66815310478106094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類似係数!$A$88</c:f>
              <c:strCache>
                <c:ptCount val="1"/>
                <c:pt idx="0">
                  <c:v>(ad - bc) / √[(a+b)(c+d)(a+c)(b+d)]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類似係数!$B$88:$L$88</c:f>
              <c:numCache>
                <c:formatCode>.000_ ;[Red]\-.000\ </c:formatCode>
                <c:ptCount val="11"/>
                <c:pt idx="0">
                  <c:v>-0.3779644730092272</c:v>
                </c:pt>
                <c:pt idx="1">
                  <c:v>-0.20865621238292043</c:v>
                </c:pt>
                <c:pt idx="2">
                  <c:v>-8.9087080637474794E-2</c:v>
                </c:pt>
                <c:pt idx="3">
                  <c:v>0</c:v>
                </c:pt>
                <c:pt idx="4">
                  <c:v>6.9006555934235422E-2</c:v>
                </c:pt>
                <c:pt idx="5">
                  <c:v>0.12406456138646277</c:v>
                </c:pt>
                <c:pt idx="6">
                  <c:v>0.1690308509457033</c:v>
                </c:pt>
                <c:pt idx="7">
                  <c:v>0.20645590963700367</c:v>
                </c:pt>
                <c:pt idx="8">
                  <c:v>0.23809523809523808</c:v>
                </c:pt>
                <c:pt idx="9">
                  <c:v>0.26519741765271837</c:v>
                </c:pt>
                <c:pt idx="10">
                  <c:v>0.28867513459481287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類似係数!$A$90</c:f>
              <c:strCache>
                <c:ptCount val="1"/>
                <c:pt idx="0">
                  <c:v>[√(ad) - √(bc)] 
/ √√[(a+b)(c+d)(a+c)(b+d)]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類似係数!$B$90:$L$90</c:f>
              <c:numCache>
                <c:formatCode>.000_ ;[Red]\-.000\ </c:formatCode>
                <c:ptCount val="11"/>
                <c:pt idx="0">
                  <c:v>-0.61478815295126432</c:v>
                </c:pt>
                <c:pt idx="1">
                  <c:v>-0.23645139797374917</c:v>
                </c:pt>
                <c:pt idx="2">
                  <c:v>-9.4866341319717842E-2</c:v>
                </c:pt>
                <c:pt idx="3">
                  <c:v>0</c:v>
                </c:pt>
                <c:pt idx="4">
                  <c:v>7.0387838480027984E-2</c:v>
                </c:pt>
                <c:pt idx="5">
                  <c:v>0.12553192996824766</c:v>
                </c:pt>
                <c:pt idx="6">
                  <c:v>0.17029712006769959</c:v>
                </c:pt>
                <c:pt idx="7">
                  <c:v>0.20758096565254505</c:v>
                </c:pt>
                <c:pt idx="8">
                  <c:v>0.23924892683914045</c:v>
                </c:pt>
                <c:pt idx="9">
                  <c:v>0.26656975427618385</c:v>
                </c:pt>
                <c:pt idx="10">
                  <c:v>0.2904427874726519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類似係数!$A$89</c:f>
              <c:strCache>
                <c:ptCount val="1"/>
                <c:pt idx="0">
                  <c:v>Sign(ad - bc)*√{|ad - bc| 
/ √[(a+b)(c+d)(a+c)(b+d)]}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類似係数!$B$87:$L$87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類似係数!$B$89:$L$89</c:f>
              <c:numCache>
                <c:formatCode>.000_ ;[Red]\-.000\ </c:formatCode>
                <c:ptCount val="11"/>
                <c:pt idx="0">
                  <c:v>-0.61478815295126432</c:v>
                </c:pt>
                <c:pt idx="1">
                  <c:v>-0.45678902392999815</c:v>
                </c:pt>
                <c:pt idx="2">
                  <c:v>-0.29847458960098228</c:v>
                </c:pt>
                <c:pt idx="3">
                  <c:v>0</c:v>
                </c:pt>
                <c:pt idx="4">
                  <c:v>0.26269098944241581</c:v>
                </c:pt>
                <c:pt idx="5">
                  <c:v>0.35222799631270479</c:v>
                </c:pt>
                <c:pt idx="6">
                  <c:v>0.41113361690051969</c:v>
                </c:pt>
                <c:pt idx="7">
                  <c:v>0.45437419561084635</c:v>
                </c:pt>
                <c:pt idx="8">
                  <c:v>0.4879500364742666</c:v>
                </c:pt>
                <c:pt idx="9">
                  <c:v>0.51497322032579362</c:v>
                </c:pt>
                <c:pt idx="10">
                  <c:v>0.537284965911771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02720"/>
        <c:axId val="167112704"/>
      </c:lineChart>
      <c:catAx>
        <c:axId val="1671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12704"/>
        <c:crosses val="autoZero"/>
        <c:auto val="1"/>
        <c:lblAlgn val="ctr"/>
        <c:lblOffset val="100"/>
        <c:noMultiLvlLbl val="0"/>
      </c:catAx>
      <c:valAx>
        <c:axId val="167112704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.000_ ;[Red]\-.0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16" fmlaLink="$B$14" max="100" page="10" val="5"/>
</file>

<file path=xl/ctrlProps/ctrlProp10.xml><?xml version="1.0" encoding="utf-8"?>
<formControlPr xmlns="http://schemas.microsoft.com/office/spreadsheetml/2009/9/main" objectType="Spin" dx="16" fmlaLink="$B$15" max="100" page="10" val="48"/>
</file>

<file path=xl/ctrlProps/ctrlProp11.xml><?xml version="1.0" encoding="utf-8"?>
<formControlPr xmlns="http://schemas.microsoft.com/office/spreadsheetml/2009/9/main" objectType="Spin" dx="16" fmlaLink="$F$17" max="10" page="10"/>
</file>

<file path=xl/ctrlProps/ctrlProp12.xml><?xml version="1.0" encoding="utf-8"?>
<formControlPr xmlns="http://schemas.microsoft.com/office/spreadsheetml/2009/9/main" objectType="Spin" dx="16" fmlaLink="$H$32" max="10" page="10" val="5"/>
</file>

<file path=xl/ctrlProps/ctrlProp13.xml><?xml version="1.0" encoding="utf-8"?>
<formControlPr xmlns="http://schemas.microsoft.com/office/spreadsheetml/2009/9/main" objectType="Spin" dx="16" fmlaLink="$I$32" max="10" page="10" val="7"/>
</file>

<file path=xl/ctrlProps/ctrlProp14.xml><?xml version="1.0" encoding="utf-8"?>
<formControlPr xmlns="http://schemas.microsoft.com/office/spreadsheetml/2009/9/main" objectType="Spin" dx="16" fmlaLink="$J$32" max="10" page="10" val="3"/>
</file>

<file path=xl/ctrlProps/ctrlProp15.xml><?xml version="1.0" encoding="utf-8"?>
<formControlPr xmlns="http://schemas.microsoft.com/office/spreadsheetml/2009/9/main" objectType="Spin" dx="16" fmlaLink="$K$32" max="10" page="10" val="4"/>
</file>

<file path=xl/ctrlProps/ctrlProp16.xml><?xml version="1.0" encoding="utf-8"?>
<formControlPr xmlns="http://schemas.microsoft.com/office/spreadsheetml/2009/9/main" objectType="Spin" dx="16" fmlaLink="$B$47" max="10" page="10" val="4"/>
</file>

<file path=xl/ctrlProps/ctrlProp17.xml><?xml version="1.0" encoding="utf-8"?>
<formControlPr xmlns="http://schemas.microsoft.com/office/spreadsheetml/2009/9/main" objectType="Spin" dx="16" fmlaLink="$B$48" max="10" page="10" val="6"/>
</file>

<file path=xl/ctrlProps/ctrlProp18.xml><?xml version="1.0" encoding="utf-8"?>
<formControlPr xmlns="http://schemas.microsoft.com/office/spreadsheetml/2009/9/main" objectType="Spin" dx="16" fmlaLink="$B$49" max="10" page="10" val="8"/>
</file>

<file path=xl/ctrlProps/ctrlProp19.xml><?xml version="1.0" encoding="utf-8"?>
<formControlPr xmlns="http://schemas.microsoft.com/office/spreadsheetml/2009/9/main" objectType="Spin" dx="16" fmlaLink="B31" max="100" page="10" val="83"/>
</file>

<file path=xl/ctrlProps/ctrlProp2.xml><?xml version="1.0" encoding="utf-8"?>
<formControlPr xmlns="http://schemas.microsoft.com/office/spreadsheetml/2009/9/main" objectType="Spin" dx="16" fmlaLink="$C$14" max="100" page="10" val="0"/>
</file>

<file path=xl/ctrlProps/ctrlProp20.xml><?xml version="1.0" encoding="utf-8"?>
<formControlPr xmlns="http://schemas.microsoft.com/office/spreadsheetml/2009/9/main" objectType="Spin" dx="16" fmlaLink="B32" max="100" page="10" val="71"/>
</file>

<file path=xl/ctrlProps/ctrlProp21.xml><?xml version="1.0" encoding="utf-8"?>
<formControlPr xmlns="http://schemas.microsoft.com/office/spreadsheetml/2009/9/main" objectType="Spin" dx="16" fmlaLink="C31" max="100" page="10" val="40"/>
</file>

<file path=xl/ctrlProps/ctrlProp22.xml><?xml version="1.0" encoding="utf-8"?>
<formControlPr xmlns="http://schemas.microsoft.com/office/spreadsheetml/2009/9/main" objectType="Spin" dx="16" fmlaLink="C32" max="100" page="10" val="57"/>
</file>

<file path=xl/ctrlProps/ctrlProp3.xml><?xml version="1.0" encoding="utf-8"?>
<formControlPr xmlns="http://schemas.microsoft.com/office/spreadsheetml/2009/9/main" objectType="Spin" dx="16" fmlaLink="$C$15" max="100" page="10" val="50"/>
</file>

<file path=xl/ctrlProps/ctrlProp4.xml><?xml version="1.0" encoding="utf-8"?>
<formControlPr xmlns="http://schemas.microsoft.com/office/spreadsheetml/2009/9/main" objectType="Spin" dx="16" fmlaLink="$C$16" max="100" page="10" val="19"/>
</file>

<file path=xl/ctrlProps/ctrlProp5.xml><?xml version="1.0" encoding="utf-8"?>
<formControlPr xmlns="http://schemas.microsoft.com/office/spreadsheetml/2009/9/main" objectType="Spin" dx="16" fmlaLink="$C$17" max="100" page="10" val="0"/>
</file>

<file path=xl/ctrlProps/ctrlProp6.xml><?xml version="1.0" encoding="utf-8"?>
<formControlPr xmlns="http://schemas.microsoft.com/office/spreadsheetml/2009/9/main" objectType="Spin" dx="16" fmlaLink="$C$18" max="100" page="10" val="12"/>
</file>

<file path=xl/ctrlProps/ctrlProp7.xml><?xml version="1.0" encoding="utf-8"?>
<formControlPr xmlns="http://schemas.microsoft.com/office/spreadsheetml/2009/9/main" objectType="Spin" dx="16" fmlaLink="$B$18" max="100" page="10" val="15"/>
</file>

<file path=xl/ctrlProps/ctrlProp8.xml><?xml version="1.0" encoding="utf-8"?>
<formControlPr xmlns="http://schemas.microsoft.com/office/spreadsheetml/2009/9/main" objectType="Spin" dx="16" fmlaLink="$B$17" max="100" page="10"/>
</file>

<file path=xl/ctrlProps/ctrlProp9.xml><?xml version="1.0" encoding="utf-8"?>
<formControlPr xmlns="http://schemas.microsoft.com/office/spreadsheetml/2009/9/main" objectType="Spin" dx="16" fmlaLink="$B$16" max="100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152400</xdr:rowOff>
        </xdr:from>
        <xdr:to>
          <xdr:col>1</xdr:col>
          <xdr:colOff>323850</xdr:colOff>
          <xdr:row>13</xdr:row>
          <xdr:rowOff>276225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19050</xdr:rowOff>
        </xdr:from>
        <xdr:to>
          <xdr:col>2</xdr:col>
          <xdr:colOff>333375</xdr:colOff>
          <xdr:row>13</xdr:row>
          <xdr:rowOff>342900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9525</xdr:rowOff>
        </xdr:from>
        <xdr:to>
          <xdr:col>2</xdr:col>
          <xdr:colOff>323850</xdr:colOff>
          <xdr:row>14</xdr:row>
          <xdr:rowOff>333375</xdr:rowOff>
        </xdr:to>
        <xdr:sp macro="" textlink="">
          <xdr:nvSpPr>
            <xdr:cNvPr id="5123" name="Spinner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19050</xdr:rowOff>
        </xdr:from>
        <xdr:to>
          <xdr:col>2</xdr:col>
          <xdr:colOff>323850</xdr:colOff>
          <xdr:row>15</xdr:row>
          <xdr:rowOff>342900</xdr:rowOff>
        </xdr:to>
        <xdr:sp macro="" textlink="">
          <xdr:nvSpPr>
            <xdr:cNvPr id="5124" name="Spinner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2</xdr:col>
          <xdr:colOff>323850</xdr:colOff>
          <xdr:row>16</xdr:row>
          <xdr:rowOff>323850</xdr:rowOff>
        </xdr:to>
        <xdr:sp macro="" textlink="">
          <xdr:nvSpPr>
            <xdr:cNvPr id="5125" name="Spinner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17</xdr:row>
          <xdr:rowOff>0</xdr:rowOff>
        </xdr:from>
        <xdr:to>
          <xdr:col>2</xdr:col>
          <xdr:colOff>333375</xdr:colOff>
          <xdr:row>17</xdr:row>
          <xdr:rowOff>323850</xdr:rowOff>
        </xdr:to>
        <xdr:sp macro="" textlink="">
          <xdr:nvSpPr>
            <xdr:cNvPr id="5126" name="Spinner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9525</xdr:rowOff>
        </xdr:from>
        <xdr:to>
          <xdr:col>1</xdr:col>
          <xdr:colOff>333375</xdr:colOff>
          <xdr:row>17</xdr:row>
          <xdr:rowOff>333375</xdr:rowOff>
        </xdr:to>
        <xdr:sp macro="" textlink="">
          <xdr:nvSpPr>
            <xdr:cNvPr id="5127" name="Spinner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9525</xdr:rowOff>
        </xdr:from>
        <xdr:to>
          <xdr:col>1</xdr:col>
          <xdr:colOff>323850</xdr:colOff>
          <xdr:row>16</xdr:row>
          <xdr:rowOff>333375</xdr:rowOff>
        </xdr:to>
        <xdr:sp macro="" textlink="">
          <xdr:nvSpPr>
            <xdr:cNvPr id="5128" name="Spinner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9525</xdr:rowOff>
        </xdr:from>
        <xdr:to>
          <xdr:col>1</xdr:col>
          <xdr:colOff>323850</xdr:colOff>
          <xdr:row>15</xdr:row>
          <xdr:rowOff>333375</xdr:rowOff>
        </xdr:to>
        <xdr:sp macro="" textlink="">
          <xdr:nvSpPr>
            <xdr:cNvPr id="5129" name="Spinner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1</xdr:col>
          <xdr:colOff>323850</xdr:colOff>
          <xdr:row>14</xdr:row>
          <xdr:rowOff>323850</xdr:rowOff>
        </xdr:to>
        <xdr:sp macro="" textlink="">
          <xdr:nvSpPr>
            <xdr:cNvPr id="5130" name="Spinner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161925</xdr:colOff>
      <xdr:row>13</xdr:row>
      <xdr:rowOff>323850</xdr:rowOff>
    </xdr:from>
    <xdr:to>
      <xdr:col>10</xdr:col>
      <xdr:colOff>19050</xdr:colOff>
      <xdr:row>19</xdr:row>
      <xdr:rowOff>190500</xdr:rowOff>
    </xdr:to>
    <xdr:graphicFrame macro="">
      <xdr:nvGraphicFramePr>
        <xdr:cNvPr id="14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13</xdr:row>
      <xdr:rowOff>314325</xdr:rowOff>
    </xdr:from>
    <xdr:to>
      <xdr:col>14</xdr:col>
      <xdr:colOff>219075</xdr:colOff>
      <xdr:row>20</xdr:row>
      <xdr:rowOff>0</xdr:rowOff>
    </xdr:to>
    <xdr:graphicFrame macro="">
      <xdr:nvGraphicFramePr>
        <xdr:cNvPr id="15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0</xdr:row>
      <xdr:rowOff>47625</xdr:rowOff>
    </xdr:from>
    <xdr:to>
      <xdr:col>10</xdr:col>
      <xdr:colOff>238125</xdr:colOff>
      <xdr:row>12</xdr:row>
      <xdr:rowOff>133351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590549</xdr:colOff>
      <xdr:row>0</xdr:row>
      <xdr:rowOff>104775</xdr:rowOff>
    </xdr:from>
    <xdr:to>
      <xdr:col>14</xdr:col>
      <xdr:colOff>571500</xdr:colOff>
      <xdr:row>13</xdr:row>
      <xdr:rowOff>9526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15</xdr:row>
          <xdr:rowOff>161925</xdr:rowOff>
        </xdr:from>
        <xdr:to>
          <xdr:col>2</xdr:col>
          <xdr:colOff>285750</xdr:colOff>
          <xdr:row>16</xdr:row>
          <xdr:rowOff>342900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9525</xdr:colOff>
      <xdr:row>18</xdr:row>
      <xdr:rowOff>19050</xdr:rowOff>
    </xdr:from>
    <xdr:to>
      <xdr:col>7</xdr:col>
      <xdr:colOff>0</xdr:colOff>
      <xdr:row>30</xdr:row>
      <xdr:rowOff>19050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32</xdr:row>
          <xdr:rowOff>9525</xdr:rowOff>
        </xdr:from>
        <xdr:to>
          <xdr:col>7</xdr:col>
          <xdr:colOff>285750</xdr:colOff>
          <xdr:row>33</xdr:row>
          <xdr:rowOff>0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32</xdr:row>
          <xdr:rowOff>0</xdr:rowOff>
        </xdr:from>
        <xdr:to>
          <xdr:col>8</xdr:col>
          <xdr:colOff>285750</xdr:colOff>
          <xdr:row>32</xdr:row>
          <xdr:rowOff>361950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32</xdr:row>
          <xdr:rowOff>9525</xdr:rowOff>
        </xdr:from>
        <xdr:to>
          <xdr:col>9</xdr:col>
          <xdr:colOff>285750</xdr:colOff>
          <xdr:row>33</xdr:row>
          <xdr:rowOff>0</xdr:rowOff>
        </xdr:to>
        <xdr:sp macro="" textlink="">
          <xdr:nvSpPr>
            <xdr:cNvPr id="6148" name="Spinner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32</xdr:row>
          <xdr:rowOff>0</xdr:rowOff>
        </xdr:from>
        <xdr:to>
          <xdr:col>10</xdr:col>
          <xdr:colOff>285750</xdr:colOff>
          <xdr:row>32</xdr:row>
          <xdr:rowOff>361950</xdr:rowOff>
        </xdr:to>
        <xdr:sp macro="" textlink="">
          <xdr:nvSpPr>
            <xdr:cNvPr id="6149" name="Spinner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9525</xdr:colOff>
      <xdr:row>32</xdr:row>
      <xdr:rowOff>28575</xdr:rowOff>
    </xdr:from>
    <xdr:to>
      <xdr:col>6</xdr:col>
      <xdr:colOff>333375</xdr:colOff>
      <xdr:row>41</xdr:row>
      <xdr:rowOff>19050</xdr:rowOff>
    </xdr:to>
    <xdr:graphicFrame macro="">
      <xdr:nvGraphicFramePr>
        <xdr:cNvPr id="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1085850</xdr:colOff>
          <xdr:row>46</xdr:row>
          <xdr:rowOff>19050</xdr:rowOff>
        </xdr:from>
        <xdr:to>
          <xdr:col>0</xdr:col>
          <xdr:colOff>1323975</xdr:colOff>
          <xdr:row>46</xdr:row>
          <xdr:rowOff>304800</xdr:rowOff>
        </xdr:to>
        <xdr:sp macro="" textlink="">
          <xdr:nvSpPr>
            <xdr:cNvPr id="6150" name="Spinner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1085850</xdr:colOff>
          <xdr:row>47</xdr:row>
          <xdr:rowOff>19050</xdr:rowOff>
        </xdr:from>
        <xdr:to>
          <xdr:col>0</xdr:col>
          <xdr:colOff>1323975</xdr:colOff>
          <xdr:row>47</xdr:row>
          <xdr:rowOff>304800</xdr:rowOff>
        </xdr:to>
        <xdr:sp macro="" textlink="">
          <xdr:nvSpPr>
            <xdr:cNvPr id="6151" name="Spinner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1085850</xdr:colOff>
          <xdr:row>48</xdr:row>
          <xdr:rowOff>19050</xdr:rowOff>
        </xdr:from>
        <xdr:to>
          <xdr:col>0</xdr:col>
          <xdr:colOff>1323975</xdr:colOff>
          <xdr:row>48</xdr:row>
          <xdr:rowOff>304800</xdr:rowOff>
        </xdr:to>
        <xdr:sp macro="" textlink="">
          <xdr:nvSpPr>
            <xdr:cNvPr id="6152" name="Spinner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57149</xdr:colOff>
      <xdr:row>44</xdr:row>
      <xdr:rowOff>38101</xdr:rowOff>
    </xdr:from>
    <xdr:to>
      <xdr:col>20</xdr:col>
      <xdr:colOff>561975</xdr:colOff>
      <xdr:row>57</xdr:row>
      <xdr:rowOff>180976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92</xdr:row>
      <xdr:rowOff>23812</xdr:rowOff>
    </xdr:from>
    <xdr:to>
      <xdr:col>8</xdr:col>
      <xdr:colOff>0</xdr:colOff>
      <xdr:row>105</xdr:row>
      <xdr:rowOff>67312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140</xdr:row>
      <xdr:rowOff>38101</xdr:rowOff>
    </xdr:from>
    <xdr:to>
      <xdr:col>7</xdr:col>
      <xdr:colOff>466725</xdr:colOff>
      <xdr:row>153</xdr:row>
      <xdr:rowOff>81601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276225</xdr:colOff>
      <xdr:row>107</xdr:row>
      <xdr:rowOff>171450</xdr:rowOff>
    </xdr:from>
    <xdr:to>
      <xdr:col>18</xdr:col>
      <xdr:colOff>285750</xdr:colOff>
      <xdr:row>125</xdr:row>
      <xdr:rowOff>133350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9524</xdr:colOff>
      <xdr:row>106</xdr:row>
      <xdr:rowOff>119062</xdr:rowOff>
    </xdr:from>
    <xdr:to>
      <xdr:col>7</xdr:col>
      <xdr:colOff>466724</xdr:colOff>
      <xdr:row>119</xdr:row>
      <xdr:rowOff>162562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9524</xdr:colOff>
      <xdr:row>122</xdr:row>
      <xdr:rowOff>52387</xdr:rowOff>
    </xdr:from>
    <xdr:to>
      <xdr:col>7</xdr:col>
      <xdr:colOff>466724</xdr:colOff>
      <xdr:row>135</xdr:row>
      <xdr:rowOff>95887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0</xdr:rowOff>
        </xdr:from>
        <xdr:to>
          <xdr:col>1</xdr:col>
          <xdr:colOff>333375</xdr:colOff>
          <xdr:row>31</xdr:row>
          <xdr:rowOff>9525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9525</xdr:rowOff>
        </xdr:from>
        <xdr:to>
          <xdr:col>1</xdr:col>
          <xdr:colOff>333375</xdr:colOff>
          <xdr:row>32</xdr:row>
          <xdr:rowOff>19050</xdr:rowOff>
        </xdr:to>
        <xdr:sp macro="" textlink="">
          <xdr:nvSpPr>
            <xdr:cNvPr id="7170" name="Spinner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30</xdr:row>
          <xdr:rowOff>9525</xdr:rowOff>
        </xdr:from>
        <xdr:to>
          <xdr:col>2</xdr:col>
          <xdr:colOff>342900</xdr:colOff>
          <xdr:row>31</xdr:row>
          <xdr:rowOff>19050</xdr:rowOff>
        </xdr:to>
        <xdr:sp macro="" textlink="">
          <xdr:nvSpPr>
            <xdr:cNvPr id="7171" name="Spinner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31</xdr:row>
          <xdr:rowOff>9525</xdr:rowOff>
        </xdr:from>
        <xdr:to>
          <xdr:col>2</xdr:col>
          <xdr:colOff>333375</xdr:colOff>
          <xdr:row>32</xdr:row>
          <xdr:rowOff>19050</xdr:rowOff>
        </xdr:to>
        <xdr:sp macro="" textlink="">
          <xdr:nvSpPr>
            <xdr:cNvPr id="7172" name="Spinner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781050</xdr:colOff>
      <xdr:row>5</xdr:row>
      <xdr:rowOff>38099</xdr:rowOff>
    </xdr:from>
    <xdr:to>
      <xdr:col>9</xdr:col>
      <xdr:colOff>19050</xdr:colOff>
      <xdr:row>14</xdr:row>
      <xdr:rowOff>180974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28</xdr:row>
      <xdr:rowOff>161925</xdr:rowOff>
    </xdr:from>
    <xdr:to>
      <xdr:col>9</xdr:col>
      <xdr:colOff>0</xdr:colOff>
      <xdr:row>37</xdr:row>
      <xdr:rowOff>38100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1"/>
  <sheetViews>
    <sheetView workbookViewId="0">
      <selection activeCell="B4" sqref="B4:F7"/>
    </sheetView>
  </sheetViews>
  <sheetFormatPr defaultRowHeight="15.75"/>
  <cols>
    <col min="1" max="1" width="13" style="32" bestFit="1" customWidth="1"/>
    <col min="2" max="6" width="6.5" bestFit="1" customWidth="1"/>
    <col min="7" max="8" width="6.5" customWidth="1"/>
    <col min="9" max="9" width="8" customWidth="1"/>
    <col min="10" max="11" width="8.5" customWidth="1"/>
    <col min="12" max="12" width="12.5" customWidth="1"/>
    <col min="13" max="13" width="4.75" customWidth="1"/>
    <col min="14" max="14" width="9.875" customWidth="1"/>
    <col min="15" max="18" width="9.125" bestFit="1" customWidth="1"/>
    <col min="19" max="19" width="10.125" bestFit="1" customWidth="1"/>
    <col min="20" max="20" width="9.125" bestFit="1" customWidth="1"/>
  </cols>
  <sheetData>
    <row r="1" spans="1:20">
      <c r="A1" s="66" t="s">
        <v>295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 t="s">
        <v>294</v>
      </c>
      <c r="O1" s="61"/>
      <c r="P1" s="61"/>
      <c r="Q1" s="61"/>
      <c r="R1" s="61"/>
      <c r="S1" s="61"/>
      <c r="T1" s="61"/>
    </row>
    <row r="2" spans="1:20">
      <c r="A2" s="66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s="34" customFormat="1">
      <c r="A3" s="67" t="s">
        <v>335</v>
      </c>
      <c r="B3" s="68" t="s">
        <v>268</v>
      </c>
      <c r="C3" s="68" t="s">
        <v>269</v>
      </c>
      <c r="D3" s="68" t="s">
        <v>270</v>
      </c>
      <c r="E3" s="68" t="s">
        <v>271</v>
      </c>
      <c r="F3" s="69" t="s">
        <v>272</v>
      </c>
      <c r="G3" s="55" t="s">
        <v>235</v>
      </c>
      <c r="H3" s="56" t="s">
        <v>236</v>
      </c>
      <c r="I3" s="55" t="s">
        <v>237</v>
      </c>
      <c r="J3" s="55" t="s">
        <v>238</v>
      </c>
      <c r="K3" s="55" t="s">
        <v>239</v>
      </c>
      <c r="L3" s="55" t="s">
        <v>240</v>
      </c>
      <c r="M3" s="56"/>
      <c r="N3" s="61" t="s">
        <v>302</v>
      </c>
      <c r="O3" s="61" t="s">
        <v>297</v>
      </c>
      <c r="P3" s="61" t="s">
        <v>298</v>
      </c>
      <c r="Q3" s="61" t="s">
        <v>303</v>
      </c>
      <c r="R3" s="61" t="s">
        <v>296</v>
      </c>
      <c r="S3" s="61" t="s">
        <v>299</v>
      </c>
      <c r="T3" s="61" t="s">
        <v>300</v>
      </c>
    </row>
    <row r="4" spans="1:20">
      <c r="A4" s="70" t="s">
        <v>206</v>
      </c>
      <c r="B4" s="71">
        <v>10</v>
      </c>
      <c r="C4" s="72">
        <v>19</v>
      </c>
      <c r="D4" s="72">
        <v>14</v>
      </c>
      <c r="E4" s="72">
        <v>7</v>
      </c>
      <c r="F4" s="73">
        <v>12</v>
      </c>
      <c r="G4" s="57">
        <f>SUM(B4:F4)</f>
        <v>62</v>
      </c>
      <c r="H4" s="58">
        <f>COUNT(B4:F4)</f>
        <v>5</v>
      </c>
      <c r="I4" s="59">
        <f>AVERAGE(B4:F4)</f>
        <v>12.4</v>
      </c>
      <c r="J4" s="59">
        <f>STDEVP(B4:F4)</f>
        <v>4.029888335921977</v>
      </c>
      <c r="K4" s="64">
        <f>J4/I4</f>
        <v>0.3249909948324175</v>
      </c>
      <c r="L4" s="64">
        <f>K4/SQRT(H4-1)</f>
        <v>0.16249549741620875</v>
      </c>
      <c r="M4" s="61"/>
      <c r="N4" s="66" t="s">
        <v>343</v>
      </c>
      <c r="O4" s="61">
        <v>12</v>
      </c>
      <c r="P4" s="61">
        <v>12</v>
      </c>
      <c r="Q4" s="61">
        <f>SUM(O4:P4)</f>
        <v>24</v>
      </c>
      <c r="R4" s="63"/>
      <c r="S4" s="61"/>
      <c r="T4" s="56"/>
    </row>
    <row r="5" spans="1:20">
      <c r="A5" s="70" t="s">
        <v>207</v>
      </c>
      <c r="B5" s="74">
        <v>11</v>
      </c>
      <c r="C5" s="75">
        <v>7</v>
      </c>
      <c r="D5" s="75">
        <v>10</v>
      </c>
      <c r="E5" s="75">
        <v>0</v>
      </c>
      <c r="F5" s="76">
        <v>1</v>
      </c>
      <c r="G5" s="57">
        <f>SUM(B5:F5)</f>
        <v>29</v>
      </c>
      <c r="H5" s="58">
        <f>COUNT(B5:F5)</f>
        <v>5</v>
      </c>
      <c r="I5" s="59">
        <f>AVERAGE(B5:F5)</f>
        <v>5.8</v>
      </c>
      <c r="J5" s="59">
        <f>STDEVP(B5:F5)</f>
        <v>4.5343136195018534</v>
      </c>
      <c r="K5" s="64">
        <f t="shared" ref="K5:K7" si="0">J5/I5</f>
        <v>0.78177821025894023</v>
      </c>
      <c r="L5" s="64">
        <f>K5/SQRT(H5-1)</f>
        <v>0.39088910512947012</v>
      </c>
      <c r="M5" s="61"/>
      <c r="N5" s="66" t="s">
        <v>344</v>
      </c>
      <c r="O5" s="61">
        <v>2</v>
      </c>
      <c r="P5" s="61">
        <v>3</v>
      </c>
      <c r="Q5" s="61">
        <f>SUM(O5:P5)</f>
        <v>5</v>
      </c>
      <c r="R5" s="63"/>
      <c r="S5" s="61"/>
      <c r="T5" s="61"/>
    </row>
    <row r="6" spans="1:20">
      <c r="A6" s="70" t="s">
        <v>208</v>
      </c>
      <c r="B6" s="74">
        <v>0</v>
      </c>
      <c r="C6" s="75">
        <v>0</v>
      </c>
      <c r="D6" s="75">
        <v>1</v>
      </c>
      <c r="E6" s="75">
        <v>12</v>
      </c>
      <c r="F6" s="76">
        <v>1</v>
      </c>
      <c r="G6" s="57">
        <f>SUM(B6:F6)</f>
        <v>14</v>
      </c>
      <c r="H6" s="58">
        <f>COUNT(B6:F6)</f>
        <v>5</v>
      </c>
      <c r="I6" s="59">
        <f>AVERAGE(B6:F6)</f>
        <v>2.8</v>
      </c>
      <c r="J6" s="59">
        <f>STDEVP(B6:F6)</f>
        <v>4.6216880033165371</v>
      </c>
      <c r="K6" s="64">
        <f t="shared" si="0"/>
        <v>1.6506028583273347</v>
      </c>
      <c r="L6" s="64">
        <f>K6/SQRT(H6-1)</f>
        <v>0.82530142916366733</v>
      </c>
      <c r="M6" s="61"/>
      <c r="N6" s="66" t="s">
        <v>345</v>
      </c>
      <c r="O6" s="61">
        <f>O4/O5</f>
        <v>6</v>
      </c>
      <c r="P6" s="61">
        <f>P4/P5</f>
        <v>4</v>
      </c>
      <c r="Q6" s="64">
        <f>Q4/Q5</f>
        <v>4.8</v>
      </c>
      <c r="R6" s="65">
        <f>SUM(O6:P6)/2</f>
        <v>5</v>
      </c>
      <c r="S6" s="64">
        <f>2/(1/O6+1/P6)</f>
        <v>4.8000000000000007</v>
      </c>
      <c r="T6" s="64">
        <f>(O4+P4)/(O5+P5)</f>
        <v>4.8</v>
      </c>
    </row>
    <row r="7" spans="1:20">
      <c r="A7" s="77" t="s">
        <v>209</v>
      </c>
      <c r="B7" s="78">
        <v>0</v>
      </c>
      <c r="C7" s="79">
        <v>1</v>
      </c>
      <c r="D7" s="79">
        <v>2</v>
      </c>
      <c r="E7" s="79">
        <v>3</v>
      </c>
      <c r="F7" s="80">
        <v>3</v>
      </c>
      <c r="G7" s="57">
        <f>SUM(B7:F7)</f>
        <v>9</v>
      </c>
      <c r="H7" s="58">
        <f>COUNT(B7:F7)</f>
        <v>5</v>
      </c>
      <c r="I7" s="59">
        <f>AVERAGE(B7:F7)</f>
        <v>1.8</v>
      </c>
      <c r="J7" s="59">
        <f>STDEVP(B7:F7)</f>
        <v>1.1661903789690602</v>
      </c>
      <c r="K7" s="64">
        <f t="shared" si="0"/>
        <v>0.64788354387170011</v>
      </c>
      <c r="L7" s="64">
        <f>K7/SQRT(H7-1)</f>
        <v>0.32394177193585005</v>
      </c>
      <c r="M7" s="61"/>
      <c r="N7" s="61"/>
      <c r="O7" s="61"/>
      <c r="P7" s="61"/>
      <c r="Q7" s="61"/>
      <c r="R7" s="64"/>
      <c r="S7" s="64"/>
      <c r="T7" s="64"/>
    </row>
    <row r="8" spans="1:20">
      <c r="A8" s="60" t="s">
        <v>235</v>
      </c>
      <c r="B8" s="57">
        <f>SUM(B4:B7)</f>
        <v>21</v>
      </c>
      <c r="C8" s="57">
        <f>SUM(C4:C7)</f>
        <v>27</v>
      </c>
      <c r="D8" s="57">
        <f>SUM(D4:D7)</f>
        <v>27</v>
      </c>
      <c r="E8" s="57">
        <f>SUM(E4:E7)</f>
        <v>22</v>
      </c>
      <c r="F8" s="57">
        <f>SUM(F4:F7)</f>
        <v>17</v>
      </c>
      <c r="G8" s="58">
        <f>SUM(B4:F7)</f>
        <v>114</v>
      </c>
      <c r="H8" s="57"/>
      <c r="I8" s="59"/>
      <c r="J8" s="59"/>
      <c r="K8" s="61"/>
      <c r="L8" s="61"/>
      <c r="M8" s="61"/>
      <c r="N8" s="61" t="s">
        <v>301</v>
      </c>
      <c r="O8" s="61" t="s">
        <v>297</v>
      </c>
      <c r="P8" s="61" t="s">
        <v>298</v>
      </c>
      <c r="Q8" s="61" t="s">
        <v>303</v>
      </c>
      <c r="R8" s="64" t="s">
        <v>296</v>
      </c>
      <c r="S8" s="64" t="s">
        <v>299</v>
      </c>
      <c r="T8" s="64" t="s">
        <v>300</v>
      </c>
    </row>
    <row r="9" spans="1:20">
      <c r="A9" s="62" t="s">
        <v>236</v>
      </c>
      <c r="B9" s="58">
        <f>COUNT(B4:B7)</f>
        <v>4</v>
      </c>
      <c r="C9" s="58">
        <f>COUNT(C4:C7)</f>
        <v>4</v>
      </c>
      <c r="D9" s="58">
        <f>COUNT(D4:D7)</f>
        <v>4</v>
      </c>
      <c r="E9" s="58">
        <f>COUNT(E4:E7)</f>
        <v>4</v>
      </c>
      <c r="F9" s="58">
        <f>COUNT(F4:F7)</f>
        <v>4</v>
      </c>
      <c r="G9" s="57"/>
      <c r="H9" s="57">
        <f>COUNT(B4:F7)</f>
        <v>20</v>
      </c>
      <c r="I9" s="59"/>
      <c r="J9" s="59"/>
      <c r="K9" s="61"/>
      <c r="L9" s="61"/>
      <c r="M9" s="61"/>
      <c r="N9" s="66" t="s">
        <v>343</v>
      </c>
      <c r="O9" s="61">
        <v>12</v>
      </c>
      <c r="P9" s="61">
        <v>15</v>
      </c>
      <c r="Q9" s="61">
        <f>SUM(O9:P9)</f>
        <v>27</v>
      </c>
      <c r="R9" s="65"/>
      <c r="S9" s="64"/>
      <c r="T9" s="81"/>
    </row>
    <row r="10" spans="1:20">
      <c r="A10" s="60" t="s">
        <v>237</v>
      </c>
      <c r="B10" s="59">
        <f>AVERAGE(B4:B7)</f>
        <v>5.25</v>
      </c>
      <c r="C10" s="59">
        <f t="shared" ref="C10:F10" si="1">AVERAGE(C4:C7)</f>
        <v>6.75</v>
      </c>
      <c r="D10" s="59">
        <f t="shared" si="1"/>
        <v>6.75</v>
      </c>
      <c r="E10" s="59">
        <f t="shared" si="1"/>
        <v>5.5</v>
      </c>
      <c r="F10" s="59">
        <f t="shared" si="1"/>
        <v>4.25</v>
      </c>
      <c r="G10" s="59"/>
      <c r="H10" s="57"/>
      <c r="I10" s="59">
        <f>AVERAGE(B4:F7)</f>
        <v>5.7</v>
      </c>
      <c r="J10" s="59"/>
      <c r="K10" s="61"/>
      <c r="L10" s="61"/>
      <c r="M10" s="61"/>
      <c r="N10" s="66" t="s">
        <v>344</v>
      </c>
      <c r="O10" s="61">
        <v>2</v>
      </c>
      <c r="P10" s="61">
        <v>3</v>
      </c>
      <c r="Q10" s="61">
        <f>SUM(O10:P10)</f>
        <v>5</v>
      </c>
      <c r="R10" s="65"/>
      <c r="S10" s="64"/>
      <c r="T10" s="64"/>
    </row>
    <row r="11" spans="1:20">
      <c r="A11" s="60" t="s">
        <v>346</v>
      </c>
      <c r="B11" s="59">
        <f>STDEVP(B4:B7)</f>
        <v>5.2618912949622967</v>
      </c>
      <c r="C11" s="59">
        <f>STDEVP(C4:C7)</f>
        <v>7.5622417311270871</v>
      </c>
      <c r="D11" s="59">
        <f>STDEVP(D4:D7)</f>
        <v>5.4486236794258422</v>
      </c>
      <c r="E11" s="59">
        <f>STDEVP(E4:E7)</f>
        <v>4.5</v>
      </c>
      <c r="F11" s="59">
        <f>STDEVP(F4:F7)</f>
        <v>4.5483513496650634</v>
      </c>
      <c r="G11" s="59"/>
      <c r="H11" s="57"/>
      <c r="I11" s="59"/>
      <c r="J11" s="59">
        <f>STDEVP(B4:F7)</f>
        <v>5.6577380639262538</v>
      </c>
      <c r="K11" s="63"/>
      <c r="L11" s="63"/>
      <c r="M11" s="61"/>
      <c r="N11" s="66" t="s">
        <v>345</v>
      </c>
      <c r="O11" s="61">
        <f>O9/O10</f>
        <v>6</v>
      </c>
      <c r="P11" s="61">
        <f>P9/P10</f>
        <v>5</v>
      </c>
      <c r="Q11" s="64">
        <f>Q9/Q10</f>
        <v>5.4</v>
      </c>
      <c r="R11" s="65">
        <f t="shared" ref="R11" si="2">SUM(O11:P11)/2</f>
        <v>5.5</v>
      </c>
      <c r="S11" s="64">
        <f>2/(1/O11+1/P11)</f>
        <v>5.4545454545454541</v>
      </c>
      <c r="T11" s="64">
        <f>(O9+P9)/(O10+P10)</f>
        <v>5.4</v>
      </c>
    </row>
    <row r="12" spans="1:20">
      <c r="A12" s="60" t="s">
        <v>239</v>
      </c>
      <c r="B12" s="64">
        <f>B11/B10</f>
        <v>1.0022650085642471</v>
      </c>
      <c r="C12" s="64">
        <f t="shared" ref="C12:F12" si="3">C11/C10</f>
        <v>1.1203321083151241</v>
      </c>
      <c r="D12" s="64">
        <f t="shared" si="3"/>
        <v>0.80720350806308772</v>
      </c>
      <c r="E12" s="64">
        <f t="shared" si="3"/>
        <v>0.81818181818181823</v>
      </c>
      <c r="F12" s="64">
        <f t="shared" si="3"/>
        <v>1.0702003175682502</v>
      </c>
      <c r="G12" s="64"/>
      <c r="H12" s="64"/>
      <c r="I12" s="64"/>
      <c r="J12" s="65"/>
      <c r="K12" s="65">
        <f>J11/I10</f>
        <v>0.99258562525021998</v>
      </c>
      <c r="L12" s="65"/>
      <c r="M12" s="61"/>
      <c r="N12" s="61"/>
      <c r="O12" s="61"/>
      <c r="P12" s="61"/>
      <c r="Q12" s="61"/>
      <c r="R12" s="61"/>
      <c r="S12" s="61"/>
      <c r="T12" s="61"/>
    </row>
    <row r="13" spans="1:20">
      <c r="A13" s="60" t="s">
        <v>240</v>
      </c>
      <c r="B13" s="64">
        <f>B12/SQRT(B9-1)</f>
        <v>0.5786579724939106</v>
      </c>
      <c r="C13" s="64">
        <f>C12/SQRT(C9-1)</f>
        <v>0.64682404431751794</v>
      </c>
      <c r="D13" s="64">
        <f>D12/SQRT(D9-1)</f>
        <v>0.46603916267103396</v>
      </c>
      <c r="E13" s="64">
        <f>E12/SQRT(E9-1)</f>
        <v>0.4723774929733302</v>
      </c>
      <c r="F13" s="64">
        <f>F12/SQRT(F9-1)</f>
        <v>0.61788044143485221</v>
      </c>
      <c r="G13" s="64"/>
      <c r="H13" s="64"/>
      <c r="I13" s="64"/>
      <c r="J13" s="65"/>
      <c r="K13" s="65"/>
      <c r="L13" s="65">
        <f>K12/SQRT(H9-1)</f>
        <v>0.22771475964614959</v>
      </c>
      <c r="M13" s="61"/>
      <c r="N13" s="61"/>
      <c r="O13" s="61"/>
      <c r="P13" s="61"/>
      <c r="Q13" s="61"/>
      <c r="R13" s="61"/>
      <c r="S13" s="61"/>
      <c r="T13" s="61"/>
    </row>
    <row r="14" spans="1:20">
      <c r="A14" s="66"/>
      <c r="B14" s="64"/>
      <c r="C14" s="64"/>
      <c r="D14" s="64"/>
      <c r="E14" s="64"/>
      <c r="F14" s="64"/>
      <c r="G14" s="64"/>
      <c r="H14" s="64"/>
      <c r="I14" s="64"/>
      <c r="J14" s="65"/>
      <c r="K14" s="65"/>
      <c r="L14" s="65"/>
      <c r="M14" s="61"/>
      <c r="N14" s="61"/>
      <c r="O14" s="61"/>
      <c r="P14" s="61"/>
      <c r="Q14" s="61"/>
      <c r="R14" s="61"/>
      <c r="S14" s="61"/>
      <c r="T14" s="61"/>
    </row>
    <row r="15" spans="1:20">
      <c r="A15" s="40" t="s">
        <v>294</v>
      </c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</sheetData>
  <phoneticPr fontId="2"/>
  <conditionalFormatting sqref="B4:F7">
    <cfRule type="dataBar" priority="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{EDBBD45C-9B49-4C65-9BDD-570B5F46B87F}</x14:id>
        </ext>
      </extLst>
    </cfRule>
  </conditionalFormatting>
  <conditionalFormatting sqref="B4:F7">
    <cfRule type="dataBar" priority="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{3E4841A1-8A02-4901-BFC2-5F0887789996}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BBD45C-9B49-4C65-9BDD-570B5F46B87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3E4841A1-8A02-4901-BFC2-5F08877899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67"/>
  <sheetViews>
    <sheetView topLeftCell="A19" workbookViewId="0">
      <selection activeCell="H51" sqref="H51:T55"/>
    </sheetView>
  </sheetViews>
  <sheetFormatPr defaultRowHeight="15.75"/>
  <cols>
    <col min="1" max="1" width="17.375" style="85" customWidth="1"/>
    <col min="2" max="6" width="6.625" style="209" bestFit="1" customWidth="1"/>
    <col min="7" max="7" width="3.75" style="83" customWidth="1"/>
    <col min="8" max="8" width="8.625" bestFit="1" customWidth="1"/>
    <col min="9" max="13" width="4" bestFit="1" customWidth="1"/>
    <col min="14" max="14" width="3.75" customWidth="1"/>
    <col min="15" max="15" width="8.125" bestFit="1" customWidth="1"/>
    <col min="16" max="20" width="3.625" bestFit="1" customWidth="1"/>
  </cols>
  <sheetData>
    <row r="1" spans="1:20">
      <c r="A1" s="82" t="s">
        <v>293</v>
      </c>
    </row>
    <row r="2" spans="1:20">
      <c r="A2" s="82"/>
    </row>
    <row r="3" spans="1:20">
      <c r="A3" s="82" t="s">
        <v>325</v>
      </c>
      <c r="B3" s="209" t="s">
        <v>323</v>
      </c>
    </row>
    <row r="5" spans="1:20" s="34" customFormat="1">
      <c r="A5" s="84" t="s">
        <v>335</v>
      </c>
      <c r="B5" s="85" t="s">
        <v>268</v>
      </c>
      <c r="C5" s="85" t="s">
        <v>269</v>
      </c>
      <c r="D5" s="85" t="s">
        <v>270</v>
      </c>
      <c r="E5" s="85" t="s">
        <v>271</v>
      </c>
      <c r="F5" s="85" t="s">
        <v>272</v>
      </c>
      <c r="G5" s="141"/>
      <c r="H5"/>
      <c r="I5"/>
      <c r="J5"/>
      <c r="K5"/>
      <c r="L5"/>
      <c r="M5"/>
      <c r="N5"/>
      <c r="O5"/>
      <c r="P5"/>
      <c r="Q5"/>
      <c r="R5"/>
      <c r="S5"/>
      <c r="T5"/>
    </row>
    <row r="6" spans="1:20">
      <c r="A6" s="87" t="s">
        <v>206</v>
      </c>
      <c r="B6" s="88">
        <v>10</v>
      </c>
      <c r="C6" s="89">
        <v>19</v>
      </c>
      <c r="D6" s="89">
        <v>14</v>
      </c>
      <c r="E6" s="89">
        <v>7</v>
      </c>
      <c r="F6" s="90">
        <v>12</v>
      </c>
    </row>
    <row r="7" spans="1:20">
      <c r="A7" s="87" t="s">
        <v>207</v>
      </c>
      <c r="B7" s="92">
        <v>11</v>
      </c>
      <c r="C7" s="93">
        <v>7</v>
      </c>
      <c r="D7" s="93">
        <v>10</v>
      </c>
      <c r="E7" s="93">
        <v>0</v>
      </c>
      <c r="F7" s="94">
        <v>1</v>
      </c>
    </row>
    <row r="8" spans="1:20">
      <c r="A8" s="87" t="s">
        <v>208</v>
      </c>
      <c r="B8" s="92">
        <v>0</v>
      </c>
      <c r="C8" s="93">
        <v>0</v>
      </c>
      <c r="D8" s="93">
        <v>1</v>
      </c>
      <c r="E8" s="93">
        <v>12</v>
      </c>
      <c r="F8" s="94">
        <v>1</v>
      </c>
    </row>
    <row r="9" spans="1:20">
      <c r="A9" s="87" t="s">
        <v>209</v>
      </c>
      <c r="B9" s="95">
        <v>0</v>
      </c>
      <c r="C9" s="96">
        <v>1</v>
      </c>
      <c r="D9" s="96">
        <v>2</v>
      </c>
      <c r="E9" s="96">
        <v>3</v>
      </c>
      <c r="F9" s="97">
        <v>3</v>
      </c>
    </row>
    <row r="11" spans="1:20" s="34" customFormat="1">
      <c r="A11" s="171" t="s">
        <v>327</v>
      </c>
      <c r="B11" s="162" t="s">
        <v>268</v>
      </c>
      <c r="C11" s="162" t="s">
        <v>269</v>
      </c>
      <c r="D11" s="162" t="s">
        <v>270</v>
      </c>
      <c r="E11" s="162" t="s">
        <v>271</v>
      </c>
      <c r="F11" s="162" t="s">
        <v>272</v>
      </c>
      <c r="G11" s="141"/>
      <c r="H11" s="41" t="s">
        <v>551</v>
      </c>
      <c r="I11" s="42" t="s">
        <v>268</v>
      </c>
      <c r="J11" s="42" t="s">
        <v>269</v>
      </c>
      <c r="K11" s="42" t="s">
        <v>270</v>
      </c>
      <c r="L11" s="42" t="s">
        <v>271</v>
      </c>
      <c r="M11" s="43" t="s">
        <v>272</v>
      </c>
      <c r="N11"/>
      <c r="O11" s="41" t="s">
        <v>552</v>
      </c>
      <c r="P11" s="42" t="s">
        <v>268</v>
      </c>
      <c r="Q11" s="42" t="s">
        <v>269</v>
      </c>
      <c r="R11" s="42" t="s">
        <v>270</v>
      </c>
      <c r="S11" s="42" t="s">
        <v>271</v>
      </c>
      <c r="T11" s="43" t="s">
        <v>272</v>
      </c>
    </row>
    <row r="12" spans="1:20">
      <c r="A12" s="85" t="s">
        <v>206</v>
      </c>
      <c r="B12" s="251">
        <f>RANK(B6,$B6:$F6)</f>
        <v>4</v>
      </c>
      <c r="C12" s="252">
        <f t="shared" ref="C12:F12" si="0">RANK(C6,$B6:$F6)</f>
        <v>1</v>
      </c>
      <c r="D12" s="252">
        <f t="shared" si="0"/>
        <v>2</v>
      </c>
      <c r="E12" s="252">
        <f t="shared" si="0"/>
        <v>5</v>
      </c>
      <c r="F12" s="253">
        <f t="shared" si="0"/>
        <v>3</v>
      </c>
      <c r="H12" s="44" t="s">
        <v>206</v>
      </c>
      <c r="I12" s="260">
        <v>6</v>
      </c>
      <c r="J12" s="261">
        <v>1</v>
      </c>
      <c r="K12" s="261">
        <v>2</v>
      </c>
      <c r="L12" s="261">
        <v>8</v>
      </c>
      <c r="M12" s="262">
        <v>3</v>
      </c>
      <c r="O12" s="44" t="s">
        <v>206</v>
      </c>
      <c r="P12" s="260">
        <v>2</v>
      </c>
      <c r="Q12" s="261">
        <v>1</v>
      </c>
      <c r="R12" s="261">
        <v>1</v>
      </c>
      <c r="S12" s="261">
        <v>2</v>
      </c>
      <c r="T12" s="262">
        <v>1</v>
      </c>
    </row>
    <row r="13" spans="1:20">
      <c r="A13" s="85" t="s">
        <v>207</v>
      </c>
      <c r="B13" s="254">
        <f t="shared" ref="B13:F13" si="1">RANK(B7,$B7:$F7)</f>
        <v>1</v>
      </c>
      <c r="C13" s="160">
        <f t="shared" si="1"/>
        <v>3</v>
      </c>
      <c r="D13" s="160">
        <f t="shared" si="1"/>
        <v>2</v>
      </c>
      <c r="E13" s="160">
        <f t="shared" si="1"/>
        <v>5</v>
      </c>
      <c r="F13" s="255">
        <f t="shared" si="1"/>
        <v>4</v>
      </c>
      <c r="H13" s="44" t="s">
        <v>207</v>
      </c>
      <c r="I13" s="263">
        <v>5</v>
      </c>
      <c r="J13" s="264">
        <v>8</v>
      </c>
      <c r="K13" s="264">
        <v>6</v>
      </c>
      <c r="L13" s="264">
        <v>17</v>
      </c>
      <c r="M13" s="265">
        <v>13</v>
      </c>
      <c r="O13" s="44" t="s">
        <v>207</v>
      </c>
      <c r="P13" s="263">
        <v>1</v>
      </c>
      <c r="Q13" s="264">
        <v>2</v>
      </c>
      <c r="R13" s="264">
        <v>2</v>
      </c>
      <c r="S13" s="264">
        <v>4</v>
      </c>
      <c r="T13" s="265">
        <v>3</v>
      </c>
    </row>
    <row r="14" spans="1:20">
      <c r="A14" s="85" t="s">
        <v>208</v>
      </c>
      <c r="B14" s="254">
        <f t="shared" ref="B14:F14" si="2">RANK(B8,$B8:$F8)</f>
        <v>4</v>
      </c>
      <c r="C14" s="160">
        <f t="shared" si="2"/>
        <v>4</v>
      </c>
      <c r="D14" s="160">
        <f t="shared" si="2"/>
        <v>2</v>
      </c>
      <c r="E14" s="160">
        <f t="shared" si="2"/>
        <v>1</v>
      </c>
      <c r="F14" s="255">
        <f t="shared" si="2"/>
        <v>2</v>
      </c>
      <c r="H14" s="44" t="s">
        <v>208</v>
      </c>
      <c r="I14" s="263">
        <v>17</v>
      </c>
      <c r="J14" s="264">
        <v>17</v>
      </c>
      <c r="K14" s="264">
        <v>13</v>
      </c>
      <c r="L14" s="264">
        <v>3</v>
      </c>
      <c r="M14" s="265">
        <v>13</v>
      </c>
      <c r="O14" s="44" t="s">
        <v>208</v>
      </c>
      <c r="P14" s="263">
        <v>3</v>
      </c>
      <c r="Q14" s="264">
        <v>4</v>
      </c>
      <c r="R14" s="264">
        <v>4</v>
      </c>
      <c r="S14" s="264">
        <v>1</v>
      </c>
      <c r="T14" s="265">
        <v>3</v>
      </c>
    </row>
    <row r="15" spans="1:20">
      <c r="A15" s="85" t="s">
        <v>209</v>
      </c>
      <c r="B15" s="177">
        <f t="shared" ref="B15:F15" si="3">RANK(B9,$B9:$F9)</f>
        <v>5</v>
      </c>
      <c r="C15" s="178">
        <f t="shared" si="3"/>
        <v>4</v>
      </c>
      <c r="D15" s="178">
        <f t="shared" si="3"/>
        <v>3</v>
      </c>
      <c r="E15" s="178">
        <f t="shared" si="3"/>
        <v>1</v>
      </c>
      <c r="F15" s="179">
        <f t="shared" si="3"/>
        <v>1</v>
      </c>
      <c r="H15" s="45" t="s">
        <v>209</v>
      </c>
      <c r="I15" s="266">
        <v>17</v>
      </c>
      <c r="J15" s="267">
        <v>13</v>
      </c>
      <c r="K15" s="267">
        <v>12</v>
      </c>
      <c r="L15" s="267">
        <v>10</v>
      </c>
      <c r="M15" s="268">
        <v>10</v>
      </c>
      <c r="O15" s="45" t="s">
        <v>209</v>
      </c>
      <c r="P15" s="266">
        <v>3</v>
      </c>
      <c r="Q15" s="267">
        <v>3</v>
      </c>
      <c r="R15" s="267">
        <v>3</v>
      </c>
      <c r="S15" s="267">
        <v>3</v>
      </c>
      <c r="T15" s="268">
        <v>2</v>
      </c>
    </row>
    <row r="16" spans="1:20">
      <c r="B16" s="160"/>
      <c r="C16" s="160"/>
      <c r="D16" s="160"/>
      <c r="E16" s="160"/>
      <c r="F16" s="160"/>
    </row>
    <row r="17" spans="1:20" s="34" customFormat="1">
      <c r="A17" s="171" t="s">
        <v>328</v>
      </c>
      <c r="B17" s="162" t="s">
        <v>268</v>
      </c>
      <c r="C17" s="162" t="s">
        <v>269</v>
      </c>
      <c r="D17" s="162" t="s">
        <v>270</v>
      </c>
      <c r="E17" s="162" t="s">
        <v>271</v>
      </c>
      <c r="F17" s="162" t="s">
        <v>272</v>
      </c>
      <c r="G17" s="141"/>
      <c r="H17" s="278" t="s">
        <v>553</v>
      </c>
      <c r="I17" s="279" t="s">
        <v>268</v>
      </c>
      <c r="J17" s="279" t="s">
        <v>269</v>
      </c>
      <c r="K17" s="279" t="s">
        <v>270</v>
      </c>
      <c r="L17" s="279" t="s">
        <v>271</v>
      </c>
      <c r="M17" s="280" t="s">
        <v>272</v>
      </c>
      <c r="N17"/>
      <c r="O17" s="41" t="s">
        <v>551</v>
      </c>
      <c r="P17" s="42" t="s">
        <v>268</v>
      </c>
      <c r="Q17" s="42" t="s">
        <v>269</v>
      </c>
      <c r="R17" s="42" t="s">
        <v>270</v>
      </c>
      <c r="S17" s="42" t="s">
        <v>271</v>
      </c>
      <c r="T17" s="43" t="s">
        <v>272</v>
      </c>
    </row>
    <row r="18" spans="1:20">
      <c r="A18" s="104" t="s">
        <v>206</v>
      </c>
      <c r="B18" s="251">
        <f t="shared" ref="B18:F21" si="4">RANK(B6,B$6:B$9)</f>
        <v>2</v>
      </c>
      <c r="C18" s="252">
        <f t="shared" si="4"/>
        <v>1</v>
      </c>
      <c r="D18" s="252">
        <f t="shared" si="4"/>
        <v>1</v>
      </c>
      <c r="E18" s="252">
        <f t="shared" si="4"/>
        <v>2</v>
      </c>
      <c r="F18" s="253">
        <f t="shared" si="4"/>
        <v>1</v>
      </c>
      <c r="H18" s="281" t="s">
        <v>206</v>
      </c>
      <c r="I18" s="282">
        <v>3</v>
      </c>
      <c r="J18" s="283">
        <v>1</v>
      </c>
      <c r="K18" s="283">
        <v>1.5</v>
      </c>
      <c r="L18" s="283">
        <v>3.5</v>
      </c>
      <c r="M18" s="284">
        <v>2</v>
      </c>
      <c r="O18" s="44" t="s">
        <v>206</v>
      </c>
      <c r="P18" s="260">
        <v>6</v>
      </c>
      <c r="Q18" s="261">
        <v>1</v>
      </c>
      <c r="R18" s="261">
        <v>2</v>
      </c>
      <c r="S18" s="261">
        <v>8</v>
      </c>
      <c r="T18" s="262">
        <v>3</v>
      </c>
    </row>
    <row r="19" spans="1:20">
      <c r="A19" s="104" t="s">
        <v>207</v>
      </c>
      <c r="B19" s="254">
        <f t="shared" si="4"/>
        <v>1</v>
      </c>
      <c r="C19" s="160">
        <f t="shared" si="4"/>
        <v>2</v>
      </c>
      <c r="D19" s="160">
        <f t="shared" si="4"/>
        <v>2</v>
      </c>
      <c r="E19" s="160">
        <f t="shared" si="4"/>
        <v>4</v>
      </c>
      <c r="F19" s="255">
        <f t="shared" si="4"/>
        <v>3</v>
      </c>
      <c r="H19" s="281" t="s">
        <v>207</v>
      </c>
      <c r="I19" s="285">
        <v>1</v>
      </c>
      <c r="J19" s="286">
        <v>2.5</v>
      </c>
      <c r="K19" s="286">
        <v>2</v>
      </c>
      <c r="L19" s="286">
        <v>4.5</v>
      </c>
      <c r="M19" s="287">
        <v>3.5</v>
      </c>
      <c r="O19" s="44" t="s">
        <v>207</v>
      </c>
      <c r="P19" s="263">
        <v>5</v>
      </c>
      <c r="Q19" s="264">
        <v>8</v>
      </c>
      <c r="R19" s="264">
        <v>6</v>
      </c>
      <c r="S19" s="264">
        <v>17</v>
      </c>
      <c r="T19" s="265">
        <v>13</v>
      </c>
    </row>
    <row r="20" spans="1:20">
      <c r="A20" s="104" t="s">
        <v>208</v>
      </c>
      <c r="B20" s="254">
        <f t="shared" si="4"/>
        <v>3</v>
      </c>
      <c r="C20" s="160">
        <f t="shared" si="4"/>
        <v>4</v>
      </c>
      <c r="D20" s="160">
        <f t="shared" si="4"/>
        <v>4</v>
      </c>
      <c r="E20" s="160">
        <f t="shared" si="4"/>
        <v>1</v>
      </c>
      <c r="F20" s="255">
        <f t="shared" si="4"/>
        <v>3</v>
      </c>
      <c r="H20" s="281" t="s">
        <v>208</v>
      </c>
      <c r="I20" s="285">
        <v>3.5</v>
      </c>
      <c r="J20" s="286">
        <v>4</v>
      </c>
      <c r="K20" s="286">
        <v>3</v>
      </c>
      <c r="L20" s="286">
        <v>1</v>
      </c>
      <c r="M20" s="287">
        <v>2.5</v>
      </c>
      <c r="O20" s="44" t="s">
        <v>208</v>
      </c>
      <c r="P20" s="263">
        <v>17</v>
      </c>
      <c r="Q20" s="264">
        <v>17</v>
      </c>
      <c r="R20" s="264">
        <v>13</v>
      </c>
      <c r="S20" s="264">
        <v>3</v>
      </c>
      <c r="T20" s="265">
        <v>13</v>
      </c>
    </row>
    <row r="21" spans="1:20">
      <c r="A21" s="104" t="s">
        <v>209</v>
      </c>
      <c r="B21" s="177">
        <f t="shared" si="4"/>
        <v>3</v>
      </c>
      <c r="C21" s="178">
        <f t="shared" si="4"/>
        <v>3</v>
      </c>
      <c r="D21" s="178">
        <f t="shared" si="4"/>
        <v>3</v>
      </c>
      <c r="E21" s="178">
        <f t="shared" si="4"/>
        <v>3</v>
      </c>
      <c r="F21" s="179">
        <f t="shared" si="4"/>
        <v>2</v>
      </c>
      <c r="H21" s="288" t="s">
        <v>209</v>
      </c>
      <c r="I21" s="289">
        <v>4</v>
      </c>
      <c r="J21" s="290">
        <v>3.5</v>
      </c>
      <c r="K21" s="290">
        <v>3</v>
      </c>
      <c r="L21" s="290">
        <v>2</v>
      </c>
      <c r="M21" s="291">
        <v>1.5</v>
      </c>
      <c r="O21" s="45" t="s">
        <v>209</v>
      </c>
      <c r="P21" s="266">
        <v>17</v>
      </c>
      <c r="Q21" s="267">
        <v>13</v>
      </c>
      <c r="R21" s="267">
        <v>12</v>
      </c>
      <c r="S21" s="267">
        <v>10</v>
      </c>
      <c r="T21" s="268">
        <v>10</v>
      </c>
    </row>
    <row r="22" spans="1:20">
      <c r="A22" s="104"/>
      <c r="B22" s="160"/>
      <c r="C22" s="160"/>
      <c r="D22" s="160"/>
      <c r="E22" s="160"/>
      <c r="F22" s="160"/>
    </row>
    <row r="23" spans="1:20">
      <c r="A23" s="171" t="s">
        <v>329</v>
      </c>
      <c r="B23" s="162" t="s">
        <v>268</v>
      </c>
      <c r="C23" s="162" t="s">
        <v>269</v>
      </c>
      <c r="D23" s="162" t="s">
        <v>270</v>
      </c>
      <c r="E23" s="162" t="s">
        <v>271</v>
      </c>
      <c r="F23" s="162" t="s">
        <v>272</v>
      </c>
    </row>
    <row r="24" spans="1:20">
      <c r="A24" s="104" t="s">
        <v>206</v>
      </c>
      <c r="B24" s="269">
        <f t="shared" ref="B24:C24" si="5">(B12+B18)/2</f>
        <v>3</v>
      </c>
      <c r="C24" s="270">
        <f t="shared" si="5"/>
        <v>1</v>
      </c>
      <c r="D24" s="270">
        <f>(D12+D18)/2</f>
        <v>1.5</v>
      </c>
      <c r="E24" s="270">
        <f t="shared" ref="E24:F24" si="6">(E12+E18)/2</f>
        <v>3.5</v>
      </c>
      <c r="F24" s="271">
        <f t="shared" si="6"/>
        <v>2</v>
      </c>
    </row>
    <row r="25" spans="1:20">
      <c r="A25" s="104" t="s">
        <v>207</v>
      </c>
      <c r="B25" s="272">
        <f t="shared" ref="B25:F25" si="7">(B13+B19)/2</f>
        <v>1</v>
      </c>
      <c r="C25" s="273">
        <f t="shared" si="7"/>
        <v>2.5</v>
      </c>
      <c r="D25" s="273">
        <f t="shared" si="7"/>
        <v>2</v>
      </c>
      <c r="E25" s="273">
        <f t="shared" si="7"/>
        <v>4.5</v>
      </c>
      <c r="F25" s="274">
        <f t="shared" si="7"/>
        <v>3.5</v>
      </c>
    </row>
    <row r="26" spans="1:20">
      <c r="A26" s="104" t="s">
        <v>208</v>
      </c>
      <c r="B26" s="272">
        <f t="shared" ref="B26:F26" si="8">(B14+B20)/2</f>
        <v>3.5</v>
      </c>
      <c r="C26" s="273">
        <f t="shared" si="8"/>
        <v>4</v>
      </c>
      <c r="D26" s="273">
        <f t="shared" si="8"/>
        <v>3</v>
      </c>
      <c r="E26" s="273">
        <f t="shared" si="8"/>
        <v>1</v>
      </c>
      <c r="F26" s="274">
        <f t="shared" si="8"/>
        <v>2.5</v>
      </c>
    </row>
    <row r="27" spans="1:20">
      <c r="A27" s="104" t="s">
        <v>209</v>
      </c>
      <c r="B27" s="275">
        <f t="shared" ref="B27:F27" si="9">(B15+B21)/2</f>
        <v>4</v>
      </c>
      <c r="C27" s="276">
        <f t="shared" si="9"/>
        <v>3.5</v>
      </c>
      <c r="D27" s="276">
        <f t="shared" si="9"/>
        <v>3</v>
      </c>
      <c r="E27" s="276">
        <f t="shared" si="9"/>
        <v>2</v>
      </c>
      <c r="F27" s="277">
        <f t="shared" si="9"/>
        <v>1.5</v>
      </c>
    </row>
    <row r="28" spans="1:20">
      <c r="A28" s="104"/>
      <c r="B28" s="160"/>
      <c r="C28" s="160"/>
      <c r="D28" s="160"/>
      <c r="E28" s="160"/>
      <c r="F28" s="160"/>
    </row>
    <row r="29" spans="1:20" s="34" customFormat="1">
      <c r="A29" s="171" t="s">
        <v>330</v>
      </c>
      <c r="B29" s="163" t="s">
        <v>268</v>
      </c>
      <c r="C29" s="163" t="s">
        <v>269</v>
      </c>
      <c r="D29" s="163" t="s">
        <v>270</v>
      </c>
      <c r="E29" s="163" t="s">
        <v>271</v>
      </c>
      <c r="F29" s="163" t="s">
        <v>272</v>
      </c>
      <c r="G29" s="141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>
      <c r="A30" s="104" t="s">
        <v>206</v>
      </c>
      <c r="B30" s="251">
        <f t="shared" ref="B30:F33" si="10">RANK(B6,$B$6:$F$9)</f>
        <v>6</v>
      </c>
      <c r="C30" s="252">
        <f t="shared" si="10"/>
        <v>1</v>
      </c>
      <c r="D30" s="252">
        <f t="shared" si="10"/>
        <v>2</v>
      </c>
      <c r="E30" s="252">
        <f t="shared" si="10"/>
        <v>8</v>
      </c>
      <c r="F30" s="253">
        <f t="shared" si="10"/>
        <v>3</v>
      </c>
    </row>
    <row r="31" spans="1:20">
      <c r="A31" s="104" t="s">
        <v>207</v>
      </c>
      <c r="B31" s="254">
        <f t="shared" si="10"/>
        <v>5</v>
      </c>
      <c r="C31" s="160">
        <f t="shared" si="10"/>
        <v>8</v>
      </c>
      <c r="D31" s="160">
        <f t="shared" si="10"/>
        <v>6</v>
      </c>
      <c r="E31" s="160">
        <f t="shared" si="10"/>
        <v>17</v>
      </c>
      <c r="F31" s="255">
        <f t="shared" si="10"/>
        <v>13</v>
      </c>
    </row>
    <row r="32" spans="1:20">
      <c r="A32" s="104" t="s">
        <v>208</v>
      </c>
      <c r="B32" s="254">
        <f t="shared" si="10"/>
        <v>17</v>
      </c>
      <c r="C32" s="160">
        <f t="shared" si="10"/>
        <v>17</v>
      </c>
      <c r="D32" s="160">
        <f t="shared" si="10"/>
        <v>13</v>
      </c>
      <c r="E32" s="160">
        <f t="shared" si="10"/>
        <v>3</v>
      </c>
      <c r="F32" s="255">
        <f t="shared" si="10"/>
        <v>13</v>
      </c>
    </row>
    <row r="33" spans="1:20">
      <c r="A33" s="104" t="s">
        <v>209</v>
      </c>
      <c r="B33" s="177">
        <f t="shared" si="10"/>
        <v>17</v>
      </c>
      <c r="C33" s="178">
        <f t="shared" si="10"/>
        <v>13</v>
      </c>
      <c r="D33" s="178">
        <f t="shared" si="10"/>
        <v>12</v>
      </c>
      <c r="E33" s="178">
        <f t="shared" si="10"/>
        <v>10</v>
      </c>
      <c r="F33" s="179">
        <f t="shared" si="10"/>
        <v>10</v>
      </c>
    </row>
    <row r="34" spans="1:20">
      <c r="A34" s="104"/>
      <c r="B34" s="160"/>
      <c r="C34" s="160"/>
      <c r="D34" s="160"/>
      <c r="E34" s="160"/>
      <c r="F34" s="160"/>
    </row>
    <row r="35" spans="1:20">
      <c r="A35" s="104"/>
      <c r="B35" s="160"/>
      <c r="C35" s="160"/>
      <c r="D35" s="160"/>
      <c r="E35" s="160"/>
      <c r="F35" s="160"/>
    </row>
    <row r="36" spans="1:20">
      <c r="A36" s="82" t="s">
        <v>326</v>
      </c>
      <c r="B36" s="160" t="s">
        <v>324</v>
      </c>
      <c r="C36" s="160"/>
      <c r="D36" s="160"/>
      <c r="E36" s="160"/>
      <c r="F36" s="160"/>
    </row>
    <row r="37" spans="1:20">
      <c r="A37" s="141"/>
      <c r="B37" s="164"/>
      <c r="C37" s="164"/>
      <c r="D37" s="164"/>
      <c r="E37" s="164"/>
      <c r="F37" s="164"/>
    </row>
    <row r="38" spans="1:20">
      <c r="A38" s="84" t="s">
        <v>319</v>
      </c>
      <c r="B38" s="85" t="s">
        <v>268</v>
      </c>
      <c r="C38" s="85" t="s">
        <v>269</v>
      </c>
      <c r="D38" s="85" t="s">
        <v>270</v>
      </c>
      <c r="E38" s="85" t="s">
        <v>271</v>
      </c>
      <c r="F38" s="85" t="s">
        <v>272</v>
      </c>
    </row>
    <row r="39" spans="1:20">
      <c r="A39" s="87" t="s">
        <v>206</v>
      </c>
      <c r="B39" s="88">
        <v>10</v>
      </c>
      <c r="C39" s="89">
        <v>19</v>
      </c>
      <c r="D39" s="89">
        <v>14</v>
      </c>
      <c r="E39" s="89">
        <v>7</v>
      </c>
      <c r="F39" s="90">
        <v>12</v>
      </c>
    </row>
    <row r="40" spans="1:20">
      <c r="A40" s="87" t="s">
        <v>207</v>
      </c>
      <c r="B40" s="92">
        <v>11</v>
      </c>
      <c r="C40" s="93">
        <v>7</v>
      </c>
      <c r="D40" s="93">
        <v>10</v>
      </c>
      <c r="E40" s="93">
        <v>0</v>
      </c>
      <c r="F40" s="94">
        <v>1</v>
      </c>
    </row>
    <row r="41" spans="1:20">
      <c r="A41" s="87" t="s">
        <v>208</v>
      </c>
      <c r="B41" s="92">
        <v>0</v>
      </c>
      <c r="C41" s="93">
        <v>0</v>
      </c>
      <c r="D41" s="93">
        <v>1</v>
      </c>
      <c r="E41" s="93">
        <v>12</v>
      </c>
      <c r="F41" s="94">
        <v>1</v>
      </c>
    </row>
    <row r="42" spans="1:20">
      <c r="A42" s="87" t="s">
        <v>209</v>
      </c>
      <c r="B42" s="95">
        <v>0</v>
      </c>
      <c r="C42" s="96">
        <v>1</v>
      </c>
      <c r="D42" s="96">
        <v>2</v>
      </c>
      <c r="E42" s="96">
        <v>3</v>
      </c>
      <c r="F42" s="97">
        <v>3</v>
      </c>
    </row>
    <row r="43" spans="1:20">
      <c r="A43" s="141"/>
      <c r="B43" s="164"/>
      <c r="C43" s="164"/>
      <c r="D43" s="164"/>
      <c r="E43" s="164"/>
      <c r="F43" s="164"/>
    </row>
    <row r="44" spans="1:20">
      <c r="A44" s="171" t="s">
        <v>331</v>
      </c>
      <c r="B44" s="162" t="s">
        <v>268</v>
      </c>
      <c r="C44" s="162" t="s">
        <v>269</v>
      </c>
      <c r="D44" s="162" t="s">
        <v>270</v>
      </c>
      <c r="E44" s="162" t="s">
        <v>271</v>
      </c>
      <c r="F44" s="162" t="s">
        <v>272</v>
      </c>
    </row>
    <row r="45" spans="1:20">
      <c r="A45" s="85" t="s">
        <v>206</v>
      </c>
      <c r="B45" s="251">
        <f>RANK(B39,$B39:$F39,1)</f>
        <v>2</v>
      </c>
      <c r="C45" s="252">
        <f t="shared" ref="C45:F45" si="11">RANK(C39,$B39:$F39,1)</f>
        <v>5</v>
      </c>
      <c r="D45" s="252">
        <f t="shared" si="11"/>
        <v>4</v>
      </c>
      <c r="E45" s="252">
        <f t="shared" si="11"/>
        <v>1</v>
      </c>
      <c r="F45" s="253">
        <f t="shared" si="11"/>
        <v>3</v>
      </c>
      <c r="H45" s="292" t="s">
        <v>554</v>
      </c>
      <c r="I45" s="256" t="s">
        <v>268</v>
      </c>
      <c r="J45" s="256" t="s">
        <v>269</v>
      </c>
      <c r="K45" s="256" t="s">
        <v>270</v>
      </c>
      <c r="L45" s="256" t="s">
        <v>271</v>
      </c>
      <c r="M45" s="257" t="s">
        <v>272</v>
      </c>
      <c r="O45" s="41" t="s">
        <v>555</v>
      </c>
      <c r="P45" s="42" t="s">
        <v>268</v>
      </c>
      <c r="Q45" s="42" t="s">
        <v>269</v>
      </c>
      <c r="R45" s="42" t="s">
        <v>270</v>
      </c>
      <c r="S45" s="42" t="s">
        <v>271</v>
      </c>
      <c r="T45" s="43" t="s">
        <v>272</v>
      </c>
    </row>
    <row r="46" spans="1:20">
      <c r="A46" s="85" t="s">
        <v>207</v>
      </c>
      <c r="B46" s="254">
        <f t="shared" ref="B46:F46" si="12">RANK(B40,$B40:$F40,1)</f>
        <v>5</v>
      </c>
      <c r="C46" s="160">
        <f t="shared" si="12"/>
        <v>3</v>
      </c>
      <c r="D46" s="160">
        <f t="shared" si="12"/>
        <v>4</v>
      </c>
      <c r="E46" s="160">
        <f t="shared" si="12"/>
        <v>1</v>
      </c>
      <c r="F46" s="255">
        <f t="shared" si="12"/>
        <v>2</v>
      </c>
      <c r="H46" s="258" t="s">
        <v>206</v>
      </c>
      <c r="I46" s="260">
        <v>2</v>
      </c>
      <c r="J46" s="261">
        <v>5</v>
      </c>
      <c r="K46" s="261">
        <v>4</v>
      </c>
      <c r="L46" s="261">
        <v>1</v>
      </c>
      <c r="M46" s="262">
        <v>3</v>
      </c>
      <c r="O46" s="44" t="s">
        <v>206</v>
      </c>
      <c r="P46" s="260">
        <v>3</v>
      </c>
      <c r="Q46" s="261">
        <v>4</v>
      </c>
      <c r="R46" s="261">
        <v>4</v>
      </c>
      <c r="S46" s="261">
        <v>3</v>
      </c>
      <c r="T46" s="262">
        <v>4</v>
      </c>
    </row>
    <row r="47" spans="1:20">
      <c r="A47" s="85" t="s">
        <v>208</v>
      </c>
      <c r="B47" s="254">
        <f>RANK(B41,$B41:$F41,1)</f>
        <v>1</v>
      </c>
      <c r="C47" s="160">
        <f t="shared" ref="C47:F47" si="13">RANK(C41,$B41:$F41,1)</f>
        <v>1</v>
      </c>
      <c r="D47" s="160">
        <f t="shared" si="13"/>
        <v>3</v>
      </c>
      <c r="E47" s="160">
        <f t="shared" si="13"/>
        <v>5</v>
      </c>
      <c r="F47" s="255">
        <f t="shared" si="13"/>
        <v>3</v>
      </c>
      <c r="H47" s="258" t="s">
        <v>207</v>
      </c>
      <c r="I47" s="263">
        <v>5</v>
      </c>
      <c r="J47" s="264">
        <v>3</v>
      </c>
      <c r="K47" s="264">
        <v>4</v>
      </c>
      <c r="L47" s="264">
        <v>1</v>
      </c>
      <c r="M47" s="265">
        <v>2</v>
      </c>
      <c r="O47" s="44" t="s">
        <v>207</v>
      </c>
      <c r="P47" s="263">
        <v>4</v>
      </c>
      <c r="Q47" s="264">
        <v>3</v>
      </c>
      <c r="R47" s="264">
        <v>3</v>
      </c>
      <c r="S47" s="264">
        <v>1</v>
      </c>
      <c r="T47" s="265">
        <v>1</v>
      </c>
    </row>
    <row r="48" spans="1:20">
      <c r="A48" s="85" t="s">
        <v>209</v>
      </c>
      <c r="B48" s="177">
        <f t="shared" ref="B48:F48" si="14">RANK(B42,$B42:$F42,1)</f>
        <v>1</v>
      </c>
      <c r="C48" s="178">
        <f t="shared" si="14"/>
        <v>2</v>
      </c>
      <c r="D48" s="178">
        <f t="shared" si="14"/>
        <v>3</v>
      </c>
      <c r="E48" s="178">
        <f t="shared" si="14"/>
        <v>4</v>
      </c>
      <c r="F48" s="179">
        <f t="shared" si="14"/>
        <v>4</v>
      </c>
      <c r="H48" s="258" t="s">
        <v>208</v>
      </c>
      <c r="I48" s="263">
        <v>1</v>
      </c>
      <c r="J48" s="264">
        <v>1</v>
      </c>
      <c r="K48" s="264">
        <v>3</v>
      </c>
      <c r="L48" s="264">
        <v>5</v>
      </c>
      <c r="M48" s="265">
        <v>3</v>
      </c>
      <c r="O48" s="44" t="s">
        <v>208</v>
      </c>
      <c r="P48" s="263">
        <v>1</v>
      </c>
      <c r="Q48" s="264">
        <v>1</v>
      </c>
      <c r="R48" s="264">
        <v>1</v>
      </c>
      <c r="S48" s="264">
        <v>4</v>
      </c>
      <c r="T48" s="265">
        <v>1</v>
      </c>
    </row>
    <row r="49" spans="1:20">
      <c r="B49" s="160"/>
      <c r="C49" s="160"/>
      <c r="D49" s="160"/>
      <c r="E49" s="160"/>
      <c r="F49" s="160"/>
      <c r="H49" s="259" t="s">
        <v>209</v>
      </c>
      <c r="I49" s="266">
        <v>1</v>
      </c>
      <c r="J49" s="267">
        <v>2</v>
      </c>
      <c r="K49" s="267">
        <v>3</v>
      </c>
      <c r="L49" s="267">
        <v>4</v>
      </c>
      <c r="M49" s="268">
        <v>4</v>
      </c>
      <c r="O49" s="45" t="s">
        <v>209</v>
      </c>
      <c r="P49" s="266">
        <v>1</v>
      </c>
      <c r="Q49" s="267">
        <v>2</v>
      </c>
      <c r="R49" s="267">
        <v>2</v>
      </c>
      <c r="S49" s="267">
        <v>2</v>
      </c>
      <c r="T49" s="268">
        <v>3</v>
      </c>
    </row>
    <row r="50" spans="1:20">
      <c r="A50" s="171" t="s">
        <v>332</v>
      </c>
      <c r="B50" s="162" t="s">
        <v>268</v>
      </c>
      <c r="C50" s="162" t="s">
        <v>269</v>
      </c>
      <c r="D50" s="162" t="s">
        <v>270</v>
      </c>
      <c r="E50" s="162" t="s">
        <v>271</v>
      </c>
      <c r="F50" s="162" t="s">
        <v>272</v>
      </c>
    </row>
    <row r="51" spans="1:20">
      <c r="A51" s="104" t="s">
        <v>206</v>
      </c>
      <c r="B51" s="251">
        <f>RANK(B39,B$39:B$42,1)</f>
        <v>3</v>
      </c>
      <c r="C51" s="252">
        <f t="shared" ref="C51:F51" si="15">RANK(C39,C$39:C$42,1)</f>
        <v>4</v>
      </c>
      <c r="D51" s="252">
        <f t="shared" si="15"/>
        <v>4</v>
      </c>
      <c r="E51" s="252">
        <f t="shared" si="15"/>
        <v>3</v>
      </c>
      <c r="F51" s="253">
        <f t="shared" si="15"/>
        <v>4</v>
      </c>
      <c r="H51" s="278" t="s">
        <v>556</v>
      </c>
      <c r="I51" s="279" t="s">
        <v>268</v>
      </c>
      <c r="J51" s="279" t="s">
        <v>269</v>
      </c>
      <c r="K51" s="279" t="s">
        <v>270</v>
      </c>
      <c r="L51" s="279" t="s">
        <v>271</v>
      </c>
      <c r="M51" s="280" t="s">
        <v>272</v>
      </c>
      <c r="O51" s="41" t="s">
        <v>557</v>
      </c>
      <c r="P51" s="42" t="s">
        <v>268</v>
      </c>
      <c r="Q51" s="42" t="s">
        <v>269</v>
      </c>
      <c r="R51" s="42" t="s">
        <v>270</v>
      </c>
      <c r="S51" s="42" t="s">
        <v>271</v>
      </c>
      <c r="T51" s="43" t="s">
        <v>272</v>
      </c>
    </row>
    <row r="52" spans="1:20">
      <c r="A52" s="104" t="s">
        <v>207</v>
      </c>
      <c r="B52" s="254">
        <f t="shared" ref="B52:F52" si="16">RANK(B40,B$39:B$42,1)</f>
        <v>4</v>
      </c>
      <c r="C52" s="160">
        <f t="shared" si="16"/>
        <v>3</v>
      </c>
      <c r="D52" s="160">
        <f t="shared" si="16"/>
        <v>3</v>
      </c>
      <c r="E52" s="160">
        <f t="shared" si="16"/>
        <v>1</v>
      </c>
      <c r="F52" s="255">
        <f t="shared" si="16"/>
        <v>1</v>
      </c>
      <c r="H52" s="281" t="s">
        <v>206</v>
      </c>
      <c r="I52" s="282">
        <v>2.5</v>
      </c>
      <c r="J52" s="283">
        <v>4.5</v>
      </c>
      <c r="K52" s="283">
        <v>4</v>
      </c>
      <c r="L52" s="283">
        <v>2</v>
      </c>
      <c r="M52" s="284">
        <v>3.5</v>
      </c>
      <c r="O52" s="44" t="s">
        <v>206</v>
      </c>
      <c r="P52" s="260">
        <v>14</v>
      </c>
      <c r="Q52" s="261">
        <v>20</v>
      </c>
      <c r="R52" s="261">
        <v>19</v>
      </c>
      <c r="S52" s="261">
        <v>12</v>
      </c>
      <c r="T52" s="262">
        <v>17</v>
      </c>
    </row>
    <row r="53" spans="1:20">
      <c r="A53" s="104" t="s">
        <v>208</v>
      </c>
      <c r="B53" s="254">
        <f t="shared" ref="B53:F53" si="17">RANK(B41,B$39:B$42,1)</f>
        <v>1</v>
      </c>
      <c r="C53" s="160">
        <f t="shared" si="17"/>
        <v>1</v>
      </c>
      <c r="D53" s="160">
        <f t="shared" si="17"/>
        <v>1</v>
      </c>
      <c r="E53" s="160">
        <f t="shared" si="17"/>
        <v>4</v>
      </c>
      <c r="F53" s="255">
        <f t="shared" si="17"/>
        <v>1</v>
      </c>
      <c r="H53" s="281" t="s">
        <v>207</v>
      </c>
      <c r="I53" s="285">
        <v>4.5</v>
      </c>
      <c r="J53" s="286">
        <v>3</v>
      </c>
      <c r="K53" s="286">
        <v>3.5</v>
      </c>
      <c r="L53" s="286">
        <v>1</v>
      </c>
      <c r="M53" s="287">
        <v>1.5</v>
      </c>
      <c r="O53" s="44" t="s">
        <v>207</v>
      </c>
      <c r="P53" s="263">
        <v>16</v>
      </c>
      <c r="Q53" s="264">
        <v>12</v>
      </c>
      <c r="R53" s="264">
        <v>14</v>
      </c>
      <c r="S53" s="264">
        <v>1</v>
      </c>
      <c r="T53" s="265">
        <v>5</v>
      </c>
    </row>
    <row r="54" spans="1:20">
      <c r="A54" s="104" t="s">
        <v>209</v>
      </c>
      <c r="B54" s="177">
        <f t="shared" ref="B54:F54" si="18">RANK(B42,B$39:B$42,1)</f>
        <v>1</v>
      </c>
      <c r="C54" s="178">
        <f t="shared" si="18"/>
        <v>2</v>
      </c>
      <c r="D54" s="178">
        <f t="shared" si="18"/>
        <v>2</v>
      </c>
      <c r="E54" s="178">
        <f t="shared" si="18"/>
        <v>2</v>
      </c>
      <c r="F54" s="179">
        <f t="shared" si="18"/>
        <v>3</v>
      </c>
      <c r="H54" s="281" t="s">
        <v>208</v>
      </c>
      <c r="I54" s="285">
        <v>1</v>
      </c>
      <c r="J54" s="286">
        <v>1</v>
      </c>
      <c r="K54" s="286">
        <v>2</v>
      </c>
      <c r="L54" s="286">
        <v>4.5</v>
      </c>
      <c r="M54" s="287">
        <v>2</v>
      </c>
      <c r="O54" s="44" t="s">
        <v>208</v>
      </c>
      <c r="P54" s="263">
        <v>1</v>
      </c>
      <c r="Q54" s="264">
        <v>1</v>
      </c>
      <c r="R54" s="264">
        <v>5</v>
      </c>
      <c r="S54" s="264">
        <v>17</v>
      </c>
      <c r="T54" s="265">
        <v>5</v>
      </c>
    </row>
    <row r="55" spans="1:20">
      <c r="A55" s="104"/>
      <c r="B55" s="160"/>
      <c r="C55" s="160"/>
      <c r="D55" s="160"/>
      <c r="E55" s="160"/>
      <c r="F55" s="160"/>
      <c r="H55" s="288" t="s">
        <v>209</v>
      </c>
      <c r="I55" s="289">
        <v>1</v>
      </c>
      <c r="J55" s="290">
        <v>2</v>
      </c>
      <c r="K55" s="290">
        <v>2.5</v>
      </c>
      <c r="L55" s="290">
        <v>3</v>
      </c>
      <c r="M55" s="291">
        <v>3.5</v>
      </c>
      <c r="O55" s="45" t="s">
        <v>209</v>
      </c>
      <c r="P55" s="266">
        <v>1</v>
      </c>
      <c r="Q55" s="267">
        <v>5</v>
      </c>
      <c r="R55" s="267">
        <v>9</v>
      </c>
      <c r="S55" s="267">
        <v>10</v>
      </c>
      <c r="T55" s="268">
        <v>10</v>
      </c>
    </row>
    <row r="56" spans="1:20">
      <c r="A56" s="171" t="s">
        <v>333</v>
      </c>
      <c r="B56" s="162" t="s">
        <v>268</v>
      </c>
      <c r="C56" s="162" t="s">
        <v>269</v>
      </c>
      <c r="D56" s="162" t="s">
        <v>270</v>
      </c>
      <c r="E56" s="162" t="s">
        <v>271</v>
      </c>
      <c r="F56" s="162" t="s">
        <v>272</v>
      </c>
    </row>
    <row r="57" spans="1:20">
      <c r="A57" s="104" t="s">
        <v>206</v>
      </c>
      <c r="B57" s="251">
        <f t="shared" ref="B57:F57" si="19">B45+B51</f>
        <v>5</v>
      </c>
      <c r="C57" s="252">
        <f t="shared" si="19"/>
        <v>9</v>
      </c>
      <c r="D57" s="252">
        <f t="shared" si="19"/>
        <v>8</v>
      </c>
      <c r="E57" s="252">
        <f t="shared" si="19"/>
        <v>4</v>
      </c>
      <c r="F57" s="253">
        <f t="shared" si="19"/>
        <v>7</v>
      </c>
    </row>
    <row r="58" spans="1:20">
      <c r="A58" s="104" t="s">
        <v>207</v>
      </c>
      <c r="B58" s="254">
        <f t="shared" ref="B58:F58" si="20">B46+B52</f>
        <v>9</v>
      </c>
      <c r="C58" s="160">
        <f t="shared" si="20"/>
        <v>6</v>
      </c>
      <c r="D58" s="160">
        <f t="shared" si="20"/>
        <v>7</v>
      </c>
      <c r="E58" s="160">
        <f t="shared" si="20"/>
        <v>2</v>
      </c>
      <c r="F58" s="255">
        <f t="shared" si="20"/>
        <v>3</v>
      </c>
    </row>
    <row r="59" spans="1:20">
      <c r="A59" s="104" t="s">
        <v>208</v>
      </c>
      <c r="B59" s="254">
        <f t="shared" ref="B59:F59" si="21">B47+B53</f>
        <v>2</v>
      </c>
      <c r="C59" s="160">
        <f t="shared" si="21"/>
        <v>2</v>
      </c>
      <c r="D59" s="160">
        <f t="shared" si="21"/>
        <v>4</v>
      </c>
      <c r="E59" s="160">
        <f t="shared" si="21"/>
        <v>9</v>
      </c>
      <c r="F59" s="255">
        <f t="shared" si="21"/>
        <v>4</v>
      </c>
    </row>
    <row r="60" spans="1:20">
      <c r="A60" s="104" t="s">
        <v>209</v>
      </c>
      <c r="B60" s="177">
        <f t="shared" ref="B60:F60" si="22">B48+B54</f>
        <v>2</v>
      </c>
      <c r="C60" s="178">
        <f t="shared" si="22"/>
        <v>4</v>
      </c>
      <c r="D60" s="178">
        <f t="shared" si="22"/>
        <v>5</v>
      </c>
      <c r="E60" s="178">
        <f t="shared" si="22"/>
        <v>6</v>
      </c>
      <c r="F60" s="179">
        <f t="shared" si="22"/>
        <v>7</v>
      </c>
    </row>
    <row r="61" spans="1:20">
      <c r="A61" s="104"/>
      <c r="B61" s="160"/>
      <c r="C61" s="160"/>
      <c r="D61" s="160"/>
      <c r="E61" s="160"/>
      <c r="F61" s="160"/>
    </row>
    <row r="62" spans="1:20">
      <c r="A62" s="171" t="s">
        <v>334</v>
      </c>
      <c r="B62" s="163" t="s">
        <v>268</v>
      </c>
      <c r="C62" s="163" t="s">
        <v>269</v>
      </c>
      <c r="D62" s="163" t="s">
        <v>270</v>
      </c>
      <c r="E62" s="163" t="s">
        <v>271</v>
      </c>
      <c r="F62" s="163" t="s">
        <v>272</v>
      </c>
    </row>
    <row r="63" spans="1:20">
      <c r="A63" s="104" t="s">
        <v>206</v>
      </c>
      <c r="B63" s="251">
        <f>RANK(B39,$B$39:$F$42,1)</f>
        <v>14</v>
      </c>
      <c r="C63" s="252">
        <f t="shared" ref="C63:F63" si="23">RANK(C39,$B$39:$F$42,1)</f>
        <v>20</v>
      </c>
      <c r="D63" s="252">
        <f t="shared" si="23"/>
        <v>19</v>
      </c>
      <c r="E63" s="252">
        <f t="shared" si="23"/>
        <v>12</v>
      </c>
      <c r="F63" s="253">
        <f t="shared" si="23"/>
        <v>17</v>
      </c>
    </row>
    <row r="64" spans="1:20">
      <c r="A64" s="104" t="s">
        <v>207</v>
      </c>
      <c r="B64" s="254">
        <f t="shared" ref="B64:F64" si="24">RANK(B40,$B$39:$F$42,1)</f>
        <v>16</v>
      </c>
      <c r="C64" s="160">
        <f t="shared" si="24"/>
        <v>12</v>
      </c>
      <c r="D64" s="160">
        <f t="shared" si="24"/>
        <v>14</v>
      </c>
      <c r="E64" s="160">
        <f t="shared" si="24"/>
        <v>1</v>
      </c>
      <c r="F64" s="255">
        <f t="shared" si="24"/>
        <v>5</v>
      </c>
    </row>
    <row r="65" spans="1:6">
      <c r="A65" s="104" t="s">
        <v>208</v>
      </c>
      <c r="B65" s="254">
        <f t="shared" ref="B65:F65" si="25">RANK(B41,$B$39:$F$42,1)</f>
        <v>1</v>
      </c>
      <c r="C65" s="160">
        <f t="shared" si="25"/>
        <v>1</v>
      </c>
      <c r="D65" s="160">
        <f t="shared" si="25"/>
        <v>5</v>
      </c>
      <c r="E65" s="160">
        <f t="shared" si="25"/>
        <v>17</v>
      </c>
      <c r="F65" s="255">
        <f t="shared" si="25"/>
        <v>5</v>
      </c>
    </row>
    <row r="66" spans="1:6">
      <c r="A66" s="104" t="s">
        <v>209</v>
      </c>
      <c r="B66" s="177">
        <f t="shared" ref="B66:F66" si="26">RANK(B42,$B$39:$F$42,1)</f>
        <v>1</v>
      </c>
      <c r="C66" s="178">
        <f t="shared" si="26"/>
        <v>5</v>
      </c>
      <c r="D66" s="178">
        <f t="shared" si="26"/>
        <v>9</v>
      </c>
      <c r="E66" s="178">
        <f t="shared" si="26"/>
        <v>10</v>
      </c>
      <c r="F66" s="179">
        <f t="shared" si="26"/>
        <v>10</v>
      </c>
    </row>
    <row r="67" spans="1:6">
      <c r="A67" s="104"/>
      <c r="B67" s="160"/>
      <c r="C67" s="160"/>
      <c r="D67" s="160"/>
      <c r="E67" s="160"/>
      <c r="F67" s="160"/>
    </row>
  </sheetData>
  <phoneticPr fontId="2"/>
  <conditionalFormatting sqref="B35:F36">
    <cfRule type="dataBar" priority="44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{CA73FB40-1DA3-43DC-9FDB-577BB9D9C4EC}</x14:id>
        </ext>
      </extLst>
    </cfRule>
    <cfRule type="dataBar" priority="4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{1A4AF9A4-4E9A-48F0-A29F-E28484536B7F}</x14:id>
        </ext>
      </extLst>
    </cfRule>
  </conditionalFormatting>
  <conditionalFormatting sqref="B35:F36">
    <cfRule type="dataBar" priority="4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{02988509-1BC7-4953-A885-D6E09CDCACA6}</x14:id>
        </ext>
      </extLst>
    </cfRule>
  </conditionalFormatting>
  <conditionalFormatting sqref="B67:F67">
    <cfRule type="dataBar" priority="20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{B3C9BBE7-33DA-4D03-BB90-9344135C86B7}</x14:id>
        </ext>
      </extLst>
    </cfRule>
    <cfRule type="dataBar" priority="2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{8EA0D50E-F308-421D-9256-CFB82BBC3541}</x14:id>
        </ext>
      </extLst>
    </cfRule>
  </conditionalFormatting>
  <conditionalFormatting sqref="B67:F67">
    <cfRule type="dataBar" priority="2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{D207A827-F65D-4AE9-9193-8172D50A8C90}</x14:id>
        </ext>
      </extLst>
    </cfRule>
  </conditionalFormatting>
  <conditionalFormatting sqref="B6:F9">
    <cfRule type="dataBar" priority="1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{AF8F3B05-098E-41B4-AEF3-3CB8F851E841}</x14:id>
        </ext>
      </extLst>
    </cfRule>
  </conditionalFormatting>
  <conditionalFormatting sqref="B6:F9">
    <cfRule type="dataBar" priority="1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{3960580E-9650-4932-B909-010B0995CC57}</x14:id>
        </ext>
      </extLst>
    </cfRule>
  </conditionalFormatting>
  <conditionalFormatting sqref="B39:F42">
    <cfRule type="dataBar" priority="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{A5FD6580-4CA4-4EA1-A816-3BC98FF70A43}</x14:id>
        </ext>
      </extLst>
    </cfRule>
  </conditionalFormatting>
  <conditionalFormatting sqref="B39:F42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{11633AEA-E969-43A7-BB42-0D167E5E9917}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73FB40-1DA3-43DC-9FDB-577BB9D9C4EC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A4AF9A4-4E9A-48F0-A29F-E28484536B7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B35:F36</xm:sqref>
        </x14:conditionalFormatting>
        <x14:conditionalFormatting xmlns:xm="http://schemas.microsoft.com/office/excel/2006/main">
          <x14:cfRule type="dataBar" id="{02988509-1BC7-4953-A885-D6E09CDCACA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B35:F36</xm:sqref>
        </x14:conditionalFormatting>
        <x14:conditionalFormatting xmlns:xm="http://schemas.microsoft.com/office/excel/2006/main">
          <x14:cfRule type="dataBar" id="{B3C9BBE7-33DA-4D03-BB90-9344135C86B7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EA0D50E-F308-421D-9256-CFB82BBC354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B67:F67</xm:sqref>
        </x14:conditionalFormatting>
        <x14:conditionalFormatting xmlns:xm="http://schemas.microsoft.com/office/excel/2006/main">
          <x14:cfRule type="dataBar" id="{D207A827-F65D-4AE9-9193-8172D50A8C9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B67:F67</xm:sqref>
        </x14:conditionalFormatting>
        <x14:conditionalFormatting xmlns:xm="http://schemas.microsoft.com/office/excel/2006/main">
          <x14:cfRule type="dataBar" id="{AF8F3B05-098E-41B4-AEF3-3CB8F851E84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B6:F9</xm:sqref>
        </x14:conditionalFormatting>
        <x14:conditionalFormatting xmlns:xm="http://schemas.microsoft.com/office/excel/2006/main">
          <x14:cfRule type="dataBar" id="{3960580E-9650-4932-B909-010B0995CC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B6:F9</xm:sqref>
        </x14:conditionalFormatting>
        <x14:conditionalFormatting xmlns:xm="http://schemas.microsoft.com/office/excel/2006/main">
          <x14:cfRule type="dataBar" id="{A5FD6580-4CA4-4EA1-A816-3BC98FF70A4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B39:F42</xm:sqref>
        </x14:conditionalFormatting>
        <x14:conditionalFormatting xmlns:xm="http://schemas.microsoft.com/office/excel/2006/main">
          <x14:cfRule type="dataBar" id="{11633AEA-E969-43A7-BB42-0D167E5E99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B39:F42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104"/>
  <sheetViews>
    <sheetView workbookViewId="0">
      <selection activeCell="A22" sqref="A22"/>
    </sheetView>
  </sheetViews>
  <sheetFormatPr defaultRowHeight="15.75"/>
  <cols>
    <col min="1" max="1" width="20.5" style="141" bestFit="1" customWidth="1"/>
    <col min="2" max="2" width="7.5" style="83" bestFit="1" customWidth="1"/>
    <col min="3" max="4" width="7" style="83" bestFit="1" customWidth="1"/>
    <col min="5" max="5" width="9.5" style="83" bestFit="1" customWidth="1"/>
    <col min="6" max="7" width="7" style="83" bestFit="1" customWidth="1"/>
    <col min="8" max="8" width="9" style="83"/>
    <col min="9" max="9" width="16.125" style="83" bestFit="1" customWidth="1"/>
    <col min="10" max="14" width="5.25" style="83" bestFit="1" customWidth="1"/>
    <col min="15" max="15" width="2.25" style="83" customWidth="1"/>
    <col min="16" max="16" width="7.625" bestFit="1" customWidth="1"/>
    <col min="17" max="21" width="5.75" bestFit="1" customWidth="1"/>
  </cols>
  <sheetData>
    <row r="1" spans="1:15">
      <c r="A1" s="137" t="s">
        <v>227</v>
      </c>
    </row>
    <row r="3" spans="1:15">
      <c r="A3" s="187" t="s">
        <v>273</v>
      </c>
    </row>
    <row r="4" spans="1:15" s="33" customFormat="1">
      <c r="A4" s="362" t="s">
        <v>273</v>
      </c>
      <c r="B4" s="348" t="s">
        <v>222</v>
      </c>
      <c r="C4" s="349" t="s">
        <v>225</v>
      </c>
      <c r="D4" s="350"/>
      <c r="E4" s="348" t="s">
        <v>223</v>
      </c>
      <c r="F4" s="351">
        <v>4</v>
      </c>
      <c r="G4" s="189"/>
      <c r="H4" s="189"/>
      <c r="I4" s="189"/>
      <c r="J4" s="189"/>
      <c r="K4" s="189"/>
      <c r="L4" s="189"/>
      <c r="M4" s="189"/>
      <c r="N4" s="189"/>
      <c r="O4" s="189"/>
    </row>
    <row r="5" spans="1:15">
      <c r="A5" s="352" t="s">
        <v>224</v>
      </c>
      <c r="B5" s="357">
        <v>0.5</v>
      </c>
      <c r="C5" s="358">
        <v>0.33333333333333331</v>
      </c>
      <c r="D5" s="358">
        <v>0.25</v>
      </c>
      <c r="E5" s="358">
        <v>0.2</v>
      </c>
      <c r="F5" s="359">
        <v>0.16666666666666666</v>
      </c>
    </row>
    <row r="6" spans="1:15">
      <c r="A6" s="114">
        <v>0</v>
      </c>
      <c r="B6" s="360">
        <f t="shared" ref="B6:F10" si="0">BINOMDIST($A6,$F$4,B$5,0)</f>
        <v>6.25E-2</v>
      </c>
      <c r="C6" s="353">
        <f t="shared" si="0"/>
        <v>0.19753086419753091</v>
      </c>
      <c r="D6" s="353">
        <f t="shared" si="0"/>
        <v>0.31640625000000006</v>
      </c>
      <c r="E6" s="353">
        <f t="shared" si="0"/>
        <v>0.40959999999999996</v>
      </c>
      <c r="F6" s="354">
        <f t="shared" si="0"/>
        <v>0.48225308641975312</v>
      </c>
    </row>
    <row r="7" spans="1:15">
      <c r="A7" s="114">
        <v>1</v>
      </c>
      <c r="B7" s="360">
        <f t="shared" si="0"/>
        <v>0.24999999999999994</v>
      </c>
      <c r="C7" s="353">
        <f t="shared" si="0"/>
        <v>0.39506172839506171</v>
      </c>
      <c r="D7" s="353">
        <f t="shared" si="0"/>
        <v>0.42187499999999994</v>
      </c>
      <c r="E7" s="353">
        <f t="shared" si="0"/>
        <v>0.40959999999999996</v>
      </c>
      <c r="F7" s="354">
        <f t="shared" si="0"/>
        <v>0.38580246913580241</v>
      </c>
    </row>
    <row r="8" spans="1:15">
      <c r="A8" s="114">
        <v>2</v>
      </c>
      <c r="B8" s="360">
        <f t="shared" si="0"/>
        <v>0.375</v>
      </c>
      <c r="C8" s="353">
        <f t="shared" si="0"/>
        <v>0.29629629629629628</v>
      </c>
      <c r="D8" s="353">
        <f t="shared" si="0"/>
        <v>0.21093750000000003</v>
      </c>
      <c r="E8" s="353">
        <f t="shared" si="0"/>
        <v>0.15359999999999996</v>
      </c>
      <c r="F8" s="354">
        <f t="shared" si="0"/>
        <v>0.11574074074074073</v>
      </c>
    </row>
    <row r="9" spans="1:15">
      <c r="A9" s="114">
        <v>3</v>
      </c>
      <c r="B9" s="360">
        <f t="shared" si="0"/>
        <v>0.25</v>
      </c>
      <c r="C9" s="353">
        <f t="shared" si="0"/>
        <v>9.8765432098765413E-2</v>
      </c>
      <c r="D9" s="353">
        <f t="shared" si="0"/>
        <v>4.6875000000000007E-2</v>
      </c>
      <c r="E9" s="353">
        <f t="shared" si="0"/>
        <v>2.5600000000000005E-2</v>
      </c>
      <c r="F9" s="354">
        <f t="shared" si="0"/>
        <v>1.5432098765432105E-2</v>
      </c>
    </row>
    <row r="10" spans="1:15">
      <c r="A10" s="127">
        <v>4</v>
      </c>
      <c r="B10" s="361">
        <f t="shared" si="0"/>
        <v>6.25E-2</v>
      </c>
      <c r="C10" s="355">
        <f t="shared" si="0"/>
        <v>1.2345679012345675E-2</v>
      </c>
      <c r="D10" s="355">
        <f t="shared" si="0"/>
        <v>3.9062500000000009E-3</v>
      </c>
      <c r="E10" s="355">
        <f t="shared" si="0"/>
        <v>1.6000000000000005E-3</v>
      </c>
      <c r="F10" s="356">
        <f t="shared" si="0"/>
        <v>7.7160493827160511E-4</v>
      </c>
    </row>
    <row r="11" spans="1:15">
      <c r="A11" s="85"/>
      <c r="B11" s="192"/>
      <c r="C11" s="192"/>
      <c r="D11" s="192"/>
      <c r="E11" s="192"/>
      <c r="F11" s="192"/>
    </row>
    <row r="12" spans="1:15" ht="17.25" customHeight="1">
      <c r="B12" s="188" t="s">
        <v>222</v>
      </c>
      <c r="C12" s="191">
        <v>0.16666666666666666</v>
      </c>
      <c r="E12" s="188" t="s">
        <v>223</v>
      </c>
      <c r="F12" s="141" t="s">
        <v>225</v>
      </c>
    </row>
    <row r="13" spans="1:15">
      <c r="A13" s="190" t="s">
        <v>224</v>
      </c>
      <c r="B13" s="193">
        <v>4</v>
      </c>
      <c r="C13" s="193">
        <v>5</v>
      </c>
      <c r="D13" s="193">
        <v>6</v>
      </c>
      <c r="E13" s="193">
        <v>10</v>
      </c>
      <c r="F13" s="193">
        <v>15</v>
      </c>
      <c r="G13" s="193">
        <v>20</v>
      </c>
    </row>
    <row r="14" spans="1:15">
      <c r="A14" s="85">
        <v>0</v>
      </c>
      <c r="B14" s="192">
        <f>BINOMDIST($A14,B$13,$C$12,0)</f>
        <v>0.48225308641975312</v>
      </c>
      <c r="C14" s="192">
        <f t="shared" ref="B14:E18" si="1">BINOMDIST($A14,C$13,$C$12,0)</f>
        <v>0.4018775720164609</v>
      </c>
      <c r="D14" s="192">
        <f t="shared" si="1"/>
        <v>0.33489797668038412</v>
      </c>
      <c r="E14" s="192">
        <f t="shared" si="1"/>
        <v>0.16150558288984571</v>
      </c>
      <c r="F14" s="192">
        <f t="shared" ref="F14:G29" si="2">BINOMDIST($A14,F$13,$C$12,0)</f>
        <v>6.4905471518874464E-2</v>
      </c>
      <c r="G14" s="192">
        <f t="shared" si="2"/>
        <v>2.6084053304588826E-2</v>
      </c>
    </row>
    <row r="15" spans="1:15">
      <c r="A15" s="85">
        <v>1</v>
      </c>
      <c r="B15" s="192">
        <f t="shared" si="1"/>
        <v>0.38580246913580241</v>
      </c>
      <c r="C15" s="192">
        <f t="shared" si="1"/>
        <v>0.4018775720164609</v>
      </c>
      <c r="D15" s="192">
        <f t="shared" si="1"/>
        <v>0.40187757201646096</v>
      </c>
      <c r="E15" s="192">
        <f t="shared" si="1"/>
        <v>0.32301116577969147</v>
      </c>
      <c r="F15" s="192">
        <f t="shared" si="2"/>
        <v>0.19471641455662342</v>
      </c>
      <c r="G15" s="192">
        <f t="shared" si="2"/>
        <v>0.10433621321835532</v>
      </c>
    </row>
    <row r="16" spans="1:15">
      <c r="A16" s="85">
        <v>2</v>
      </c>
      <c r="B16" s="192">
        <f t="shared" si="1"/>
        <v>0.11574074074074073</v>
      </c>
      <c r="C16" s="192">
        <f t="shared" si="1"/>
        <v>0.16075102880658432</v>
      </c>
      <c r="D16" s="192">
        <f t="shared" si="1"/>
        <v>0.20093878600823045</v>
      </c>
      <c r="E16" s="192">
        <f t="shared" si="1"/>
        <v>0.29071004920172233</v>
      </c>
      <c r="F16" s="192">
        <f t="shared" si="2"/>
        <v>0.27260298037927277</v>
      </c>
      <c r="G16" s="192">
        <f t="shared" si="2"/>
        <v>0.19823880511487516</v>
      </c>
    </row>
    <row r="17" spans="1:7">
      <c r="A17" s="85">
        <v>3</v>
      </c>
      <c r="B17" s="192">
        <f t="shared" si="1"/>
        <v>1.5432098765432105E-2</v>
      </c>
      <c r="C17" s="192">
        <f t="shared" si="1"/>
        <v>3.2150205761316865E-2</v>
      </c>
      <c r="D17" s="192">
        <f t="shared" si="1"/>
        <v>5.3583676268861451E-2</v>
      </c>
      <c r="E17" s="192">
        <f t="shared" si="1"/>
        <v>0.15504535957425183</v>
      </c>
      <c r="F17" s="192">
        <f t="shared" si="2"/>
        <v>0.23625591632870305</v>
      </c>
      <c r="G17" s="192">
        <f t="shared" si="2"/>
        <v>0.23788656613785006</v>
      </c>
    </row>
    <row r="18" spans="1:7">
      <c r="A18" s="85">
        <v>4</v>
      </c>
      <c r="B18" s="192">
        <f t="shared" si="1"/>
        <v>7.7160493827160511E-4</v>
      </c>
      <c r="C18" s="192">
        <f t="shared" si="1"/>
        <v>3.2150205761316848E-3</v>
      </c>
      <c r="D18" s="192">
        <f t="shared" si="1"/>
        <v>8.0375514403292162E-3</v>
      </c>
      <c r="E18" s="192">
        <f t="shared" si="1"/>
        <v>5.426587585098816E-2</v>
      </c>
      <c r="F18" s="192">
        <f t="shared" si="2"/>
        <v>0.14175354979722177</v>
      </c>
      <c r="G18" s="192">
        <f t="shared" si="2"/>
        <v>0.20220358121717258</v>
      </c>
    </row>
    <row r="19" spans="1:7">
      <c r="A19" s="85">
        <v>5</v>
      </c>
      <c r="B19" s="192"/>
      <c r="C19" s="192">
        <f>BINOMDIST($A19,C$13,$C$12,0)</f>
        <v>1.2860082304526758E-4</v>
      </c>
      <c r="D19" s="192">
        <f>BINOMDIST($A19,D$13,$C$12,0)</f>
        <v>6.430041152263381E-4</v>
      </c>
      <c r="E19" s="192">
        <f>BINOMDIST($A19,E$13,$C$12,0)</f>
        <v>1.3023810204237145E-2</v>
      </c>
      <c r="F19" s="192">
        <f t="shared" si="2"/>
        <v>6.2371561910777605E-2</v>
      </c>
      <c r="G19" s="192">
        <f t="shared" si="2"/>
        <v>0.1294102919789904</v>
      </c>
    </row>
    <row r="20" spans="1:7">
      <c r="A20" s="85">
        <v>6</v>
      </c>
      <c r="B20" s="192"/>
      <c r="C20" s="192"/>
      <c r="D20" s="192">
        <f>BINOMDIST($A20,D$13,$C$12,0)</f>
        <v>2.1433470507544566E-5</v>
      </c>
      <c r="E20" s="192">
        <f>BINOMDIST($A20,E$13,$C$12,0)</f>
        <v>2.1706350340395257E-3</v>
      </c>
      <c r="F20" s="192">
        <f t="shared" si="2"/>
        <v>2.0790520636925883E-2</v>
      </c>
      <c r="G20" s="192">
        <f t="shared" si="2"/>
        <v>6.4705145989495172E-2</v>
      </c>
    </row>
    <row r="21" spans="1:7">
      <c r="A21" s="85">
        <v>7</v>
      </c>
      <c r="B21" s="192"/>
      <c r="C21" s="192"/>
      <c r="D21" s="192"/>
      <c r="E21" s="192">
        <f>BINOMDIST($A21,E$13,$C$12,0)</f>
        <v>2.4807257531880307E-4</v>
      </c>
      <c r="F21" s="192">
        <f t="shared" si="2"/>
        <v>5.3461338780666596E-3</v>
      </c>
      <c r="G21" s="192">
        <f t="shared" si="2"/>
        <v>2.5882058395798102E-2</v>
      </c>
    </row>
    <row r="22" spans="1:7">
      <c r="A22" s="85">
        <v>8</v>
      </c>
      <c r="B22" s="192"/>
      <c r="C22" s="192"/>
      <c r="D22" s="192"/>
      <c r="E22" s="192">
        <f>BINOMDIST($A22,E$13,$C$12,0)</f>
        <v>1.8605443148910209E-5</v>
      </c>
      <c r="F22" s="192">
        <f t="shared" si="2"/>
        <v>1.0692267756133298E-3</v>
      </c>
      <c r="G22" s="192">
        <f t="shared" si="2"/>
        <v>8.4116689786343703E-3</v>
      </c>
    </row>
    <row r="23" spans="1:7">
      <c r="A23" s="85">
        <v>9</v>
      </c>
      <c r="B23" s="192"/>
      <c r="C23" s="192"/>
      <c r="D23" s="192"/>
      <c r="E23" s="192">
        <f>BINOMDIST($A23,E$13,$C$12,0)</f>
        <v>8.2690858439600864E-7</v>
      </c>
      <c r="F23" s="192">
        <f t="shared" si="2"/>
        <v>1.6632416509540713E-4</v>
      </c>
      <c r="G23" s="192">
        <f t="shared" si="2"/>
        <v>2.2431117276358334E-3</v>
      </c>
    </row>
    <row r="24" spans="1:7">
      <c r="A24" s="85">
        <v>10</v>
      </c>
      <c r="B24" s="192"/>
      <c r="C24" s="192"/>
      <c r="D24" s="192"/>
      <c r="E24" s="192">
        <f>BINOMDIST($A24,E$13,$C$12,0)</f>
        <v>1.6538171687920224E-8</v>
      </c>
      <c r="F24" s="192">
        <f t="shared" si="2"/>
        <v>1.9958899811448805E-5</v>
      </c>
      <c r="G24" s="192">
        <f t="shared" si="2"/>
        <v>4.9348458007988211E-4</v>
      </c>
    </row>
    <row r="25" spans="1:7">
      <c r="A25" s="85">
        <v>11</v>
      </c>
      <c r="C25" s="192"/>
      <c r="D25" s="192"/>
      <c r="E25" s="192"/>
      <c r="F25" s="192">
        <f t="shared" si="2"/>
        <v>1.8144454374044384E-6</v>
      </c>
      <c r="G25" s="192">
        <f t="shared" si="2"/>
        <v>8.9724469105433382E-5</v>
      </c>
    </row>
    <row r="26" spans="1:7">
      <c r="A26" s="85">
        <v>12</v>
      </c>
      <c r="C26" s="192"/>
      <c r="D26" s="192"/>
      <c r="E26" s="192"/>
      <c r="F26" s="192">
        <f t="shared" si="2"/>
        <v>1.209630291602963E-7</v>
      </c>
      <c r="G26" s="192">
        <f t="shared" si="2"/>
        <v>1.3458670365814968E-5</v>
      </c>
    </row>
    <row r="27" spans="1:7">
      <c r="A27" s="85">
        <v>13</v>
      </c>
      <c r="C27" s="192"/>
      <c r="D27" s="192"/>
      <c r="E27" s="192"/>
      <c r="F27" s="192">
        <f t="shared" si="2"/>
        <v>5.5829090381675025E-9</v>
      </c>
      <c r="G27" s="192">
        <f t="shared" si="2"/>
        <v>1.6564517373310739E-6</v>
      </c>
    </row>
    <row r="28" spans="1:7">
      <c r="A28" s="85">
        <v>14</v>
      </c>
      <c r="C28" s="192"/>
      <c r="D28" s="192"/>
      <c r="E28" s="192"/>
      <c r="F28" s="192">
        <f t="shared" si="2"/>
        <v>1.5951168680478581E-10</v>
      </c>
      <c r="G28" s="192">
        <f t="shared" si="2"/>
        <v>1.6564517373310738E-7</v>
      </c>
    </row>
    <row r="29" spans="1:7">
      <c r="A29" s="85">
        <v>15</v>
      </c>
      <c r="C29" s="192"/>
      <c r="D29" s="192"/>
      <c r="E29" s="192"/>
      <c r="F29" s="192">
        <f t="shared" si="2"/>
        <v>2.126822490730479E-12</v>
      </c>
      <c r="G29" s="192">
        <f t="shared" si="2"/>
        <v>1.3251613898648633E-8</v>
      </c>
    </row>
    <row r="30" spans="1:7">
      <c r="A30" s="85">
        <v>16</v>
      </c>
      <c r="C30" s="192"/>
      <c r="D30" s="192"/>
      <c r="E30" s="192"/>
      <c r="F30" s="192"/>
      <c r="G30" s="192">
        <f t="shared" ref="G30:G34" si="3">BINOMDIST($A30,G$13,$C$12,0)</f>
        <v>8.2822586866553666E-10</v>
      </c>
    </row>
    <row r="31" spans="1:7">
      <c r="A31" s="85">
        <v>17</v>
      </c>
      <c r="C31" s="192"/>
      <c r="D31" s="192"/>
      <c r="E31" s="192"/>
      <c r="F31" s="192"/>
      <c r="G31" s="192">
        <f t="shared" si="3"/>
        <v>3.8975334996025384E-11</v>
      </c>
    </row>
    <row r="32" spans="1:7">
      <c r="A32" s="85">
        <v>18</v>
      </c>
      <c r="C32" s="192"/>
      <c r="D32" s="192"/>
      <c r="E32" s="192"/>
      <c r="F32" s="192"/>
      <c r="G32" s="192">
        <f t="shared" si="3"/>
        <v>1.2991778332008426E-12</v>
      </c>
    </row>
    <row r="33" spans="1:21">
      <c r="A33" s="85">
        <v>19</v>
      </c>
      <c r="C33" s="192"/>
      <c r="D33" s="192"/>
      <c r="E33" s="192"/>
      <c r="F33" s="192"/>
      <c r="G33" s="192">
        <f t="shared" si="3"/>
        <v>2.7351112277912434E-14</v>
      </c>
    </row>
    <row r="34" spans="1:21">
      <c r="A34" s="85">
        <v>20</v>
      </c>
      <c r="C34" s="192"/>
      <c r="D34" s="192"/>
      <c r="E34" s="192"/>
      <c r="F34" s="192"/>
      <c r="G34" s="192">
        <f t="shared" si="3"/>
        <v>2.7351112277912608E-16</v>
      </c>
    </row>
    <row r="35" spans="1:21">
      <c r="A35" s="85"/>
      <c r="C35" s="192"/>
      <c r="D35" s="192"/>
      <c r="E35" s="192"/>
      <c r="F35" s="192"/>
      <c r="G35" s="192"/>
    </row>
    <row r="36" spans="1:21">
      <c r="A36" s="85"/>
      <c r="B36" s="29"/>
      <c r="C36" s="29"/>
      <c r="D36" s="29"/>
      <c r="E36" s="29"/>
      <c r="F36" s="29"/>
      <c r="G36" s="29"/>
    </row>
    <row r="37" spans="1:21" s="34" customFormat="1">
      <c r="A37" s="84" t="s">
        <v>335</v>
      </c>
      <c r="B37" s="85" t="s">
        <v>268</v>
      </c>
      <c r="C37" s="85" t="s">
        <v>269</v>
      </c>
      <c r="D37" s="85" t="s">
        <v>270</v>
      </c>
      <c r="E37" s="85" t="s">
        <v>271</v>
      </c>
      <c r="F37" s="85" t="s">
        <v>272</v>
      </c>
      <c r="G37" s="86" t="s">
        <v>235</v>
      </c>
      <c r="H37" s="141"/>
      <c r="I37" s="171" t="s">
        <v>559</v>
      </c>
      <c r="J37" s="172" t="s">
        <v>268</v>
      </c>
      <c r="K37" s="172" t="s">
        <v>269</v>
      </c>
      <c r="L37" s="172" t="s">
        <v>270</v>
      </c>
      <c r="M37" s="172" t="s">
        <v>271</v>
      </c>
      <c r="N37" s="173" t="s">
        <v>272</v>
      </c>
      <c r="O37" s="83"/>
    </row>
    <row r="38" spans="1:21">
      <c r="A38" s="87" t="s">
        <v>206</v>
      </c>
      <c r="B38" s="88">
        <v>10</v>
      </c>
      <c r="C38" s="89">
        <v>19</v>
      </c>
      <c r="D38" s="89">
        <v>14</v>
      </c>
      <c r="E38" s="89">
        <v>7</v>
      </c>
      <c r="F38" s="90">
        <v>12</v>
      </c>
      <c r="G38" s="91">
        <f>SUM(B38:F38)</f>
        <v>62</v>
      </c>
      <c r="I38" s="174" t="s">
        <v>206</v>
      </c>
      <c r="J38" s="119">
        <v>-0.16129032258064513</v>
      </c>
      <c r="K38" s="120">
        <v>0.73330476694523694</v>
      </c>
      <c r="L38" s="120">
        <v>0</v>
      </c>
      <c r="M38" s="120">
        <v>-0.88037335990658105</v>
      </c>
      <c r="N38" s="121">
        <v>0.5685500889642896</v>
      </c>
    </row>
    <row r="39" spans="1:21">
      <c r="A39" s="87" t="s">
        <v>207</v>
      </c>
      <c r="B39" s="92">
        <v>11</v>
      </c>
      <c r="C39" s="93">
        <v>7</v>
      </c>
      <c r="D39" s="93">
        <v>10</v>
      </c>
      <c r="E39" s="93">
        <v>0</v>
      </c>
      <c r="F39" s="94">
        <v>1</v>
      </c>
      <c r="G39" s="91">
        <f>SUM(B39:F39)</f>
        <v>29</v>
      </c>
      <c r="I39" s="174" t="s">
        <v>207</v>
      </c>
      <c r="J39" s="124">
        <v>0.97266264314234241</v>
      </c>
      <c r="K39" s="125">
        <v>-2.3529411764705799E-2</v>
      </c>
      <c r="L39" s="125">
        <v>0.61384545683121616</v>
      </c>
      <c r="M39" s="125">
        <v>-0.99178537376499476</v>
      </c>
      <c r="N39" s="126">
        <v>-0.82013993427950549</v>
      </c>
    </row>
    <row r="40" spans="1:21">
      <c r="A40" s="87" t="s">
        <v>208</v>
      </c>
      <c r="B40" s="92">
        <v>0</v>
      </c>
      <c r="C40" s="93">
        <v>0</v>
      </c>
      <c r="D40" s="93">
        <v>1</v>
      </c>
      <c r="E40" s="93">
        <v>12</v>
      </c>
      <c r="F40" s="94">
        <v>1</v>
      </c>
      <c r="G40" s="91">
        <f>SUM(B40:F40)</f>
        <v>14</v>
      </c>
      <c r="I40" s="174" t="s">
        <v>208</v>
      </c>
      <c r="J40" s="124">
        <v>-0.75704567541302226</v>
      </c>
      <c r="K40" s="125">
        <v>-0.87540803867334482</v>
      </c>
      <c r="L40" s="125">
        <v>-0.52904238618524302</v>
      </c>
      <c r="M40" s="125">
        <v>0.99999190279802508</v>
      </c>
      <c r="N40" s="126">
        <v>-0.10714285714285676</v>
      </c>
    </row>
    <row r="41" spans="1:21">
      <c r="A41" s="87" t="s">
        <v>209</v>
      </c>
      <c r="B41" s="95">
        <v>0</v>
      </c>
      <c r="C41" s="96">
        <v>1</v>
      </c>
      <c r="D41" s="96">
        <v>2</v>
      </c>
      <c r="E41" s="96">
        <v>3</v>
      </c>
      <c r="F41" s="97">
        <v>3</v>
      </c>
      <c r="G41" s="91">
        <f>SUM(B41:F41)</f>
        <v>9</v>
      </c>
      <c r="I41" s="175" t="s">
        <v>209</v>
      </c>
      <c r="J41" s="132">
        <v>-0.44444444444444453</v>
      </c>
      <c r="K41" s="133">
        <v>-0.10256410256410275</v>
      </c>
      <c r="L41" s="133">
        <v>0</v>
      </c>
      <c r="M41" s="133">
        <v>0.48571428571428577</v>
      </c>
      <c r="N41" s="134">
        <v>0.70612244897959187</v>
      </c>
    </row>
    <row r="42" spans="1:21">
      <c r="A42" s="86" t="s">
        <v>235</v>
      </c>
      <c r="B42" s="30">
        <f>SUM(B38:B41)</f>
        <v>21</v>
      </c>
      <c r="C42" s="30">
        <f>SUM(C38:C41)</f>
        <v>27</v>
      </c>
      <c r="D42" s="30">
        <f>SUM(D38:D41)</f>
        <v>27</v>
      </c>
      <c r="E42" s="30">
        <f>SUM(E38:E41)</f>
        <v>22</v>
      </c>
      <c r="F42" s="30">
        <f>SUM(F38:F41)</f>
        <v>17</v>
      </c>
      <c r="G42" s="98">
        <f>SUM(B38:F41)</f>
        <v>114</v>
      </c>
    </row>
    <row r="43" spans="1:21">
      <c r="A43" s="85"/>
      <c r="B43" s="29"/>
      <c r="C43" s="29"/>
      <c r="D43" s="29"/>
      <c r="E43" s="29"/>
      <c r="F43" s="29"/>
      <c r="G43" s="31"/>
    </row>
    <row r="44" spans="1:21">
      <c r="A44" s="85"/>
      <c r="B44" s="29"/>
      <c r="C44" s="29"/>
      <c r="D44" s="29"/>
      <c r="E44" s="29"/>
      <c r="F44" s="29"/>
      <c r="G44" s="29"/>
    </row>
    <row r="45" spans="1:21" s="34" customFormat="1" ht="18.75" customHeight="1">
      <c r="A45" s="194" t="s">
        <v>259</v>
      </c>
      <c r="B45" s="85" t="s">
        <v>268</v>
      </c>
      <c r="C45" s="85" t="s">
        <v>269</v>
      </c>
      <c r="D45" s="85" t="s">
        <v>270</v>
      </c>
      <c r="E45" s="85" t="s">
        <v>271</v>
      </c>
      <c r="F45" s="85" t="s">
        <v>272</v>
      </c>
      <c r="G45" s="140"/>
      <c r="H45" s="141"/>
      <c r="I45" s="224" t="s">
        <v>560</v>
      </c>
      <c r="J45" s="112" t="s">
        <v>268</v>
      </c>
      <c r="K45" s="112" t="s">
        <v>269</v>
      </c>
      <c r="L45" s="112" t="s">
        <v>270</v>
      </c>
      <c r="M45" s="112" t="s">
        <v>271</v>
      </c>
      <c r="N45" s="113" t="s">
        <v>272</v>
      </c>
      <c r="O45" s="83"/>
      <c r="P45" s="41" t="s">
        <v>559</v>
      </c>
      <c r="Q45" s="42" t="s">
        <v>268</v>
      </c>
      <c r="R45" s="42" t="s">
        <v>269</v>
      </c>
      <c r="S45" s="42" t="s">
        <v>270</v>
      </c>
      <c r="T45" s="42" t="s">
        <v>271</v>
      </c>
      <c r="U45" s="43" t="s">
        <v>272</v>
      </c>
    </row>
    <row r="46" spans="1:21">
      <c r="A46" s="87" t="s">
        <v>206</v>
      </c>
      <c r="B46" s="103">
        <f>BINOMDIST(B38,$G38,B$42/$G$42,0)</f>
        <v>0.12209290806971372</v>
      </c>
      <c r="C46" s="103">
        <f t="shared" ref="B46:F49" si="4">BINOMDIST(C38,$G38,C$42/$G$42,0)</f>
        <v>4.9979704099175487E-2</v>
      </c>
      <c r="D46" s="103">
        <f t="shared" si="4"/>
        <v>0.11789496959465778</v>
      </c>
      <c r="E46" s="103">
        <f t="shared" si="4"/>
        <v>3.706582007283056E-2</v>
      </c>
      <c r="F46" s="103">
        <f t="shared" si="4"/>
        <v>8.1349993830186998E-2</v>
      </c>
      <c r="G46" s="103"/>
      <c r="I46" s="118" t="s">
        <v>206</v>
      </c>
      <c r="J46" s="119">
        <v>-6.3186813186813406E-2</v>
      </c>
      <c r="K46" s="120">
        <v>0.5760658468209976</v>
      </c>
      <c r="L46" s="120">
        <v>0</v>
      </c>
      <c r="M46" s="120">
        <v>-0.70409649793855134</v>
      </c>
      <c r="N46" s="121">
        <v>0.42679889431672335</v>
      </c>
      <c r="P46" s="44" t="s">
        <v>206</v>
      </c>
      <c r="Q46" s="46">
        <v>-0.16129032258064513</v>
      </c>
      <c r="R46" s="47">
        <v>0.73330476694523694</v>
      </c>
      <c r="S46" s="47">
        <v>0</v>
      </c>
      <c r="T46" s="47">
        <v>-0.88037335990658105</v>
      </c>
      <c r="U46" s="48">
        <v>0.5685500889642896</v>
      </c>
    </row>
    <row r="47" spans="1:21">
      <c r="A47" s="87" t="s">
        <v>207</v>
      </c>
      <c r="B47" s="103">
        <f t="shared" si="4"/>
        <v>7.3435610416824858E-3</v>
      </c>
      <c r="C47" s="103">
        <f t="shared" si="4"/>
        <v>0.17063609717972431</v>
      </c>
      <c r="D47" s="103">
        <f t="shared" si="4"/>
        <v>6.5455164507151206E-2</v>
      </c>
      <c r="E47" s="103">
        <f t="shared" si="4"/>
        <v>1.993454393477213E-3</v>
      </c>
      <c r="F47" s="103">
        <f t="shared" si="4"/>
        <v>4.7012656264296231E-2</v>
      </c>
      <c r="G47" s="103"/>
      <c r="I47" s="118" t="s">
        <v>207</v>
      </c>
      <c r="J47" s="124">
        <v>0.96138035698656066</v>
      </c>
      <c r="K47" s="125">
        <v>-1.97044334975367E-2</v>
      </c>
      <c r="L47" s="125">
        <v>0.60884641323604072</v>
      </c>
      <c r="M47" s="125">
        <v>-0.98923103839340487</v>
      </c>
      <c r="N47" s="126">
        <v>-0.77317833352842502</v>
      </c>
      <c r="P47" s="44" t="s">
        <v>207</v>
      </c>
      <c r="Q47" s="49">
        <v>0.97266264314234241</v>
      </c>
      <c r="R47" s="50">
        <v>-2.3529411764705799E-2</v>
      </c>
      <c r="S47" s="50">
        <v>0.61384545683121616</v>
      </c>
      <c r="T47" s="50">
        <v>-0.99178537376499476</v>
      </c>
      <c r="U47" s="51">
        <v>-0.82013993427950549</v>
      </c>
    </row>
    <row r="48" spans="1:21">
      <c r="A48" s="87" t="s">
        <v>282</v>
      </c>
      <c r="B48" s="103">
        <f t="shared" si="4"/>
        <v>5.7822033508296913E-2</v>
      </c>
      <c r="C48" s="103">
        <f t="shared" si="4"/>
        <v>2.2730114213057217E-2</v>
      </c>
      <c r="D48" s="103">
        <f t="shared" si="4"/>
        <v>9.8758427270524432E-2</v>
      </c>
      <c r="E48" s="103">
        <f t="shared" si="4"/>
        <v>1.5813255869107432E-7</v>
      </c>
      <c r="F48" s="103">
        <f t="shared" si="4"/>
        <v>0.25582417591272366</v>
      </c>
      <c r="G48" s="103"/>
      <c r="I48" s="118" t="s">
        <v>208</v>
      </c>
      <c r="J48" s="124">
        <v>-0.7844808252971518</v>
      </c>
      <c r="K48" s="125">
        <v>-0.90808950994136173</v>
      </c>
      <c r="L48" s="125">
        <v>-0.60066476733143404</v>
      </c>
      <c r="M48" s="125">
        <v>0.99999938856747839</v>
      </c>
      <c r="N48" s="126">
        <v>-0.12217194570135759</v>
      </c>
      <c r="P48" s="44" t="s">
        <v>208</v>
      </c>
      <c r="Q48" s="49">
        <v>-0.75704567541302226</v>
      </c>
      <c r="R48" s="50">
        <v>-0.87540803867334482</v>
      </c>
      <c r="S48" s="50">
        <v>-0.52904238618524302</v>
      </c>
      <c r="T48" s="50">
        <v>0.99999190279802508</v>
      </c>
      <c r="U48" s="51">
        <v>-0.10714285714285676</v>
      </c>
    </row>
    <row r="49" spans="1:21">
      <c r="A49" s="87" t="s">
        <v>209</v>
      </c>
      <c r="B49" s="103">
        <f t="shared" si="4"/>
        <v>0.16003054156693422</v>
      </c>
      <c r="C49" s="103">
        <f t="shared" si="4"/>
        <v>0.24525430112514529</v>
      </c>
      <c r="D49" s="103">
        <f t="shared" si="4"/>
        <v>0.30445361518983549</v>
      </c>
      <c r="E49" s="103">
        <f t="shared" si="4"/>
        <v>0.16677487759530041</v>
      </c>
      <c r="F49" s="103">
        <f t="shared" si="4"/>
        <v>0.1057092018590416</v>
      </c>
      <c r="G49" s="103"/>
      <c r="I49" s="131" t="s">
        <v>209</v>
      </c>
      <c r="J49" s="132">
        <v>-0.50793650793650791</v>
      </c>
      <c r="K49" s="133">
        <v>-0.19444444444444431</v>
      </c>
      <c r="L49" s="133">
        <v>0</v>
      </c>
      <c r="M49" s="133">
        <v>0.46628859483301865</v>
      </c>
      <c r="N49" s="134">
        <v>0.71332412229425746</v>
      </c>
      <c r="P49" s="45" t="s">
        <v>209</v>
      </c>
      <c r="Q49" s="52">
        <v>-0.44444444444444453</v>
      </c>
      <c r="R49" s="53">
        <v>-0.10256410256410275</v>
      </c>
      <c r="S49" s="53">
        <v>0</v>
      </c>
      <c r="T49" s="53">
        <v>0.48571428571428577</v>
      </c>
      <c r="U49" s="54">
        <v>0.70612244897959187</v>
      </c>
    </row>
    <row r="50" spans="1:21">
      <c r="A50" s="85"/>
      <c r="B50" s="103"/>
      <c r="C50" s="103"/>
      <c r="D50" s="103"/>
      <c r="E50" s="103"/>
      <c r="F50" s="103"/>
      <c r="G50" s="103"/>
    </row>
    <row r="51" spans="1:21">
      <c r="A51" s="194" t="s">
        <v>221</v>
      </c>
      <c r="B51" s="85" t="s">
        <v>268</v>
      </c>
      <c r="C51" s="85" t="s">
        <v>269</v>
      </c>
      <c r="D51" s="85" t="s">
        <v>270</v>
      </c>
      <c r="E51" s="85" t="s">
        <v>271</v>
      </c>
      <c r="F51" s="85" t="s">
        <v>272</v>
      </c>
      <c r="G51" s="103"/>
      <c r="I51" s="41" t="s">
        <v>561</v>
      </c>
      <c r="J51" s="172" t="s">
        <v>268</v>
      </c>
      <c r="K51" s="172" t="s">
        <v>269</v>
      </c>
      <c r="L51" s="172" t="s">
        <v>270</v>
      </c>
      <c r="M51" s="172" t="s">
        <v>271</v>
      </c>
      <c r="N51" s="173" t="s">
        <v>272</v>
      </c>
      <c r="P51" s="41" t="s">
        <v>562</v>
      </c>
      <c r="Q51" s="42" t="s">
        <v>268</v>
      </c>
      <c r="R51" s="42" t="s">
        <v>269</v>
      </c>
      <c r="S51" s="42" t="s">
        <v>270</v>
      </c>
      <c r="T51" s="42" t="s">
        <v>271</v>
      </c>
      <c r="U51" s="43" t="s">
        <v>272</v>
      </c>
    </row>
    <row r="52" spans="1:21">
      <c r="A52" s="153" t="s">
        <v>206</v>
      </c>
      <c r="B52" s="103">
        <f>BINOMDIST($G38*B$42/$G$42,$G38,B$42/$G$42,0)</f>
        <v>0.13032791359934254</v>
      </c>
      <c r="C52" s="103">
        <f t="shared" ref="B52:F55" si="5">BINOMDIST($G38*C$42/$G$42,$G38,C$42/$G$42,0)</f>
        <v>0.11789496959465778</v>
      </c>
      <c r="D52" s="103">
        <f t="shared" si="5"/>
        <v>0.11789496959465778</v>
      </c>
      <c r="E52" s="103">
        <f t="shared" si="5"/>
        <v>0.1252632017350484</v>
      </c>
      <c r="F52" s="103">
        <f t="shared" si="5"/>
        <v>0.14192225559860852</v>
      </c>
      <c r="G52" s="103"/>
      <c r="I52" s="174" t="s">
        <v>206</v>
      </c>
      <c r="J52" s="119">
        <v>-0.11862466005898964</v>
      </c>
      <c r="K52" s="120">
        <v>0.66333005042977622</v>
      </c>
      <c r="L52" s="120">
        <v>0</v>
      </c>
      <c r="M52" s="120">
        <v>-0.80144239938559969</v>
      </c>
      <c r="N52" s="121">
        <v>0.50787671622436048</v>
      </c>
      <c r="P52" s="44" t="s">
        <v>206</v>
      </c>
      <c r="Q52" s="46">
        <v>-0.81276827527527473</v>
      </c>
      <c r="R52" s="47">
        <v>0.99998274313707369</v>
      </c>
      <c r="S52" s="47">
        <v>-0.9934004875619703</v>
      </c>
      <c r="T52" s="47">
        <v>-0.22358525463013901</v>
      </c>
      <c r="U52" s="48">
        <v>0.95791097334488606</v>
      </c>
    </row>
    <row r="53" spans="1:21">
      <c r="A53" s="153" t="s">
        <v>207</v>
      </c>
      <c r="B53" s="103">
        <f t="shared" si="5"/>
        <v>0.1901509301659518</v>
      </c>
      <c r="C53" s="103">
        <f t="shared" si="5"/>
        <v>0.16733878129219346</v>
      </c>
      <c r="D53" s="103">
        <f t="shared" si="5"/>
        <v>0.16733878129219346</v>
      </c>
      <c r="E53" s="103">
        <f t="shared" si="5"/>
        <v>0.18511110600082104</v>
      </c>
      <c r="F53" s="103">
        <f t="shared" si="5"/>
        <v>0.20726704373361887</v>
      </c>
      <c r="G53" s="103"/>
      <c r="I53" s="174" t="s">
        <v>207</v>
      </c>
      <c r="J53" s="124">
        <v>0.96713277421245725</v>
      </c>
      <c r="K53" s="125">
        <v>-2.1624550235204376E-2</v>
      </c>
      <c r="L53" s="125">
        <v>0.61135590390735128</v>
      </c>
      <c r="M53" s="125">
        <v>-0.99052774513443742</v>
      </c>
      <c r="N53" s="126">
        <v>-0.79732673672487753</v>
      </c>
      <c r="P53" s="44" t="s">
        <v>207</v>
      </c>
      <c r="Q53" s="49">
        <v>0.90683205896268071</v>
      </c>
      <c r="R53" s="50">
        <v>0.22358525463013901</v>
      </c>
      <c r="S53" s="50">
        <v>0.81276827527527473</v>
      </c>
      <c r="T53" s="50">
        <v>-0.98313321786311014</v>
      </c>
      <c r="U53" s="51">
        <v>-0.89879930559128407</v>
      </c>
    </row>
    <row r="54" spans="1:21">
      <c r="A54" s="153" t="s">
        <v>208</v>
      </c>
      <c r="B54" s="103">
        <f t="shared" si="5"/>
        <v>0.26829182873412682</v>
      </c>
      <c r="C54" s="103">
        <f t="shared" si="5"/>
        <v>0.24730707233260935</v>
      </c>
      <c r="D54" s="103">
        <f t="shared" si="5"/>
        <v>0.24730707233260935</v>
      </c>
      <c r="E54" s="103">
        <f t="shared" si="5"/>
        <v>0.25862634568509907</v>
      </c>
      <c r="F54" s="103">
        <f t="shared" si="5"/>
        <v>0.29142857152944296</v>
      </c>
      <c r="G54" s="103"/>
      <c r="I54" s="174" t="s">
        <v>208</v>
      </c>
      <c r="J54" s="124">
        <v>-0.77090749710029072</v>
      </c>
      <c r="K54" s="125">
        <v>-0.89222193006994643</v>
      </c>
      <c r="L54" s="125">
        <v>-0.56589051117576572</v>
      </c>
      <c r="M54" s="125">
        <v>0.99999568322044752</v>
      </c>
      <c r="N54" s="126">
        <v>-0.11471034406893854</v>
      </c>
      <c r="P54" s="44" t="s">
        <v>208</v>
      </c>
      <c r="Q54" s="49">
        <v>-0.98313321786311014</v>
      </c>
      <c r="R54" s="50">
        <v>-0.98313321786311014</v>
      </c>
      <c r="S54" s="50">
        <v>-0.89879930559128407</v>
      </c>
      <c r="T54" s="50">
        <v>0.95791097334488606</v>
      </c>
      <c r="U54" s="51">
        <v>-0.89879930559128407</v>
      </c>
    </row>
    <row r="55" spans="1:21">
      <c r="A55" s="153" t="s">
        <v>209</v>
      </c>
      <c r="B55" s="103">
        <f t="shared" si="5"/>
        <v>0.32522335866828561</v>
      </c>
      <c r="C55" s="103">
        <f t="shared" si="5"/>
        <v>0.30445361518983549</v>
      </c>
      <c r="D55" s="103">
        <f t="shared" si="5"/>
        <v>0.30445361518983549</v>
      </c>
      <c r="E55" s="103">
        <f t="shared" si="5"/>
        <v>0.31248138222401645</v>
      </c>
      <c r="F55" s="103">
        <f t="shared" si="5"/>
        <v>0.36874118152189428</v>
      </c>
      <c r="G55" s="103"/>
      <c r="I55" s="175" t="s">
        <v>209</v>
      </c>
      <c r="J55" s="132">
        <v>-0.47644396799016941</v>
      </c>
      <c r="K55" s="133">
        <v>-0.15042981668619748</v>
      </c>
      <c r="L55" s="133">
        <v>0</v>
      </c>
      <c r="M55" s="133">
        <v>0.47594451834680185</v>
      </c>
      <c r="N55" s="134">
        <v>0.70976633125120703</v>
      </c>
      <c r="P55" s="45" t="s">
        <v>209</v>
      </c>
      <c r="Q55" s="52">
        <v>-0.98313321786311014</v>
      </c>
      <c r="R55" s="53">
        <v>-0.89879930559128407</v>
      </c>
      <c r="S55" s="53">
        <v>-0.6990610882221453</v>
      </c>
      <c r="T55" s="53">
        <v>0.40868142723158463</v>
      </c>
      <c r="U55" s="54">
        <v>0.40868142723158463</v>
      </c>
    </row>
    <row r="56" spans="1:21">
      <c r="A56" s="85"/>
      <c r="B56" s="103"/>
      <c r="C56" s="103"/>
      <c r="D56" s="103"/>
      <c r="E56" s="103"/>
      <c r="F56" s="103"/>
      <c r="G56" s="103"/>
    </row>
    <row r="57" spans="1:21">
      <c r="A57" s="194" t="s">
        <v>260</v>
      </c>
      <c r="B57" s="85" t="s">
        <v>268</v>
      </c>
      <c r="C57" s="85" t="s">
        <v>269</v>
      </c>
      <c r="D57" s="85" t="s">
        <v>270</v>
      </c>
      <c r="E57" s="85" t="s">
        <v>271</v>
      </c>
      <c r="F57" s="85" t="s">
        <v>272</v>
      </c>
      <c r="G57" s="103"/>
      <c r="I57" s="195" t="s">
        <v>309</v>
      </c>
      <c r="J57" s="196" t="s">
        <v>305</v>
      </c>
      <c r="K57" s="196" t="s">
        <v>306</v>
      </c>
      <c r="L57" s="196" t="s">
        <v>307</v>
      </c>
      <c r="M57" s="196" t="s">
        <v>310</v>
      </c>
      <c r="N57" s="197" t="s">
        <v>311</v>
      </c>
    </row>
    <row r="58" spans="1:21">
      <c r="A58" s="153" t="s">
        <v>206</v>
      </c>
      <c r="B58" s="103">
        <f>SIGN(B38-$G38*B$42/$G$42)*(1-B46/B52)</f>
        <v>-6.3186813186813406E-2</v>
      </c>
      <c r="C58" s="103">
        <f t="shared" ref="C58:F58" si="6">SIGN(C38-$G38*C$42/$G$42)*(1-C46/C52)</f>
        <v>0.5760658468209976</v>
      </c>
      <c r="D58" s="103">
        <f t="shared" si="6"/>
        <v>0</v>
      </c>
      <c r="E58" s="103">
        <f t="shared" si="6"/>
        <v>-0.70409649793855134</v>
      </c>
      <c r="F58" s="103">
        <f t="shared" si="6"/>
        <v>0.42679889431672335</v>
      </c>
      <c r="G58" s="103"/>
      <c r="I58" s="198" t="s">
        <v>312</v>
      </c>
      <c r="J58" s="199">
        <v>-0.7154882154882154</v>
      </c>
      <c r="K58" s="200">
        <v>-0.84983580662593006</v>
      </c>
      <c r="L58" s="200">
        <v>-0.83422987269141113</v>
      </c>
      <c r="M58" s="200">
        <v>0.99999966252746619</v>
      </c>
      <c r="N58" s="201" t="s">
        <v>308</v>
      </c>
    </row>
    <row r="59" spans="1:21">
      <c r="A59" s="153" t="s">
        <v>207</v>
      </c>
      <c r="B59" s="103">
        <f t="shared" ref="B59:F59" si="7">SIGN(B39-$G39*B$42/$G$42)*(1-B47/B53)</f>
        <v>0.96138035698656066</v>
      </c>
      <c r="C59" s="103">
        <f t="shared" si="7"/>
        <v>-1.97044334975367E-2</v>
      </c>
      <c r="D59" s="103">
        <f t="shared" si="7"/>
        <v>0.60884641323604072</v>
      </c>
      <c r="E59" s="103">
        <f t="shared" si="7"/>
        <v>-0.98923103839340487</v>
      </c>
      <c r="F59" s="103">
        <f t="shared" si="7"/>
        <v>-0.77317833352842502</v>
      </c>
      <c r="G59" s="103"/>
      <c r="I59" s="198" t="s">
        <v>313</v>
      </c>
      <c r="J59" s="202">
        <v>-0.51851851851851849</v>
      </c>
      <c r="K59" s="203">
        <v>-0.21296296296296313</v>
      </c>
      <c r="L59" s="203" t="s">
        <v>308</v>
      </c>
      <c r="M59" s="203">
        <v>0.50295857988165682</v>
      </c>
      <c r="N59" s="204">
        <v>0.70112650046168068</v>
      </c>
    </row>
    <row r="60" spans="1:21">
      <c r="A60" s="153" t="s">
        <v>282</v>
      </c>
      <c r="B60" s="103">
        <f t="shared" ref="B60:F60" si="8">SIGN(B40-$G40*B$42/$G$42)*(1-B48/B54)</f>
        <v>-0.7844808252971518</v>
      </c>
      <c r="C60" s="103">
        <f t="shared" si="8"/>
        <v>-0.90808950994136173</v>
      </c>
      <c r="D60" s="103">
        <f t="shared" si="8"/>
        <v>-0.60066476733143404</v>
      </c>
      <c r="E60" s="103">
        <f t="shared" si="8"/>
        <v>0.99999938856747839</v>
      </c>
      <c r="F60" s="103">
        <f t="shared" si="8"/>
        <v>-0.12217194570135759</v>
      </c>
      <c r="G60" s="103"/>
      <c r="I60" s="198" t="s">
        <v>314</v>
      </c>
      <c r="J60" s="202">
        <v>0.95599950194838867</v>
      </c>
      <c r="K60" s="203">
        <v>-4.3697478991596705E-2</v>
      </c>
      <c r="L60" s="203">
        <v>0.64773551702287835</v>
      </c>
      <c r="M60" s="203">
        <v>-0.98713355452393337</v>
      </c>
      <c r="N60" s="204">
        <v>-0.78692124529698315</v>
      </c>
    </row>
    <row r="61" spans="1:21">
      <c r="A61" s="153" t="s">
        <v>209</v>
      </c>
      <c r="B61" s="103">
        <f t="shared" ref="B61:F61" si="9">SIGN(B41-$G41*B$42/$G$42)*(1-B49/B55)</f>
        <v>-0.50793650793650791</v>
      </c>
      <c r="C61" s="103">
        <f t="shared" si="9"/>
        <v>-0.19444444444444431</v>
      </c>
      <c r="D61" s="103">
        <f t="shared" si="9"/>
        <v>0</v>
      </c>
      <c r="E61" s="103">
        <f t="shared" si="9"/>
        <v>0.46628859483301865</v>
      </c>
      <c r="F61" s="103">
        <f t="shared" si="9"/>
        <v>0.71332412229425746</v>
      </c>
      <c r="G61" s="103"/>
      <c r="I61" s="205" t="s">
        <v>315</v>
      </c>
      <c r="J61" s="206">
        <v>-8.3333333333333814E-2</v>
      </c>
      <c r="K61" s="207">
        <v>0.52378832303556566</v>
      </c>
      <c r="L61" s="207" t="s">
        <v>308</v>
      </c>
      <c r="M61" s="207">
        <v>-0.65882444289152897</v>
      </c>
      <c r="N61" s="208">
        <v>0.38982921973783657</v>
      </c>
    </row>
    <row r="62" spans="1:21">
      <c r="A62" s="85"/>
      <c r="B62" s="103"/>
      <c r="C62" s="103"/>
      <c r="D62" s="103"/>
      <c r="E62" s="103"/>
      <c r="F62" s="103"/>
      <c r="G62" s="103"/>
    </row>
    <row r="63" spans="1:21" s="34" customFormat="1">
      <c r="A63" s="194" t="s">
        <v>267</v>
      </c>
      <c r="B63" s="153" t="s">
        <v>268</v>
      </c>
      <c r="C63" s="153" t="s">
        <v>269</v>
      </c>
      <c r="D63" s="153" t="s">
        <v>270</v>
      </c>
      <c r="E63" s="153" t="s">
        <v>271</v>
      </c>
      <c r="F63" s="153" t="s">
        <v>272</v>
      </c>
      <c r="G63" s="153"/>
      <c r="H63" s="141"/>
      <c r="I63" s="195" t="s">
        <v>316</v>
      </c>
      <c r="J63" s="196" t="s">
        <v>305</v>
      </c>
      <c r="K63" s="196" t="s">
        <v>306</v>
      </c>
      <c r="L63" s="196" t="s">
        <v>307</v>
      </c>
      <c r="M63" s="196" t="s">
        <v>310</v>
      </c>
      <c r="N63" s="197" t="s">
        <v>311</v>
      </c>
      <c r="O63" s="141"/>
    </row>
    <row r="64" spans="1:21">
      <c r="A64" s="87" t="s">
        <v>206</v>
      </c>
      <c r="B64" s="103">
        <f>BINOMDIST(B38,B$42,$G38/$G$42,0)</f>
        <v>0.14202897656090499</v>
      </c>
      <c r="C64" s="103">
        <f t="shared" ref="B64:F67" si="10">BINOMDIST(C38,C$42,$G38/$G$42,0)</f>
        <v>3.9210782545158356E-2</v>
      </c>
      <c r="D64" s="103">
        <f t="shared" si="10"/>
        <v>0.14702468467858529</v>
      </c>
      <c r="E64" s="103">
        <f t="shared" si="10"/>
        <v>1.8480839548018536E-2</v>
      </c>
      <c r="F64" s="103">
        <f t="shared" si="10"/>
        <v>8.182477588405912E-2</v>
      </c>
      <c r="G64" s="103"/>
      <c r="I64" s="198" t="s">
        <v>312</v>
      </c>
      <c r="J64" s="199">
        <v>-0.6693121693121693</v>
      </c>
      <c r="K64" s="200">
        <v>-0.80215257993035771</v>
      </c>
      <c r="L64" s="200">
        <v>-0.78632478632478631</v>
      </c>
      <c r="M64" s="200">
        <v>0.99999133363292081</v>
      </c>
      <c r="N64" s="201" t="s">
        <v>308</v>
      </c>
    </row>
    <row r="65" spans="1:14">
      <c r="A65" s="87" t="s">
        <v>283</v>
      </c>
      <c r="B65" s="103">
        <f t="shared" si="10"/>
        <v>5.4074251506305623E-3</v>
      </c>
      <c r="C65" s="103">
        <f t="shared" si="10"/>
        <v>0.17264784074794851</v>
      </c>
      <c r="D65" s="103">
        <f t="shared" si="10"/>
        <v>6.5136133174868799E-2</v>
      </c>
      <c r="E65" s="103">
        <f t="shared" si="10"/>
        <v>1.5678685054479498E-3</v>
      </c>
      <c r="F65" s="103">
        <f t="shared" si="10"/>
        <v>3.9460924699467131E-2</v>
      </c>
      <c r="G65" s="103"/>
      <c r="I65" s="198" t="s">
        <v>313</v>
      </c>
      <c r="J65" s="202">
        <v>-0.455026455026455</v>
      </c>
      <c r="K65" s="203">
        <v>-0.11965811965812012</v>
      </c>
      <c r="L65" s="203" t="s">
        <v>308</v>
      </c>
      <c r="M65" s="203">
        <v>0.51644829861438379</v>
      </c>
      <c r="N65" s="204">
        <v>0.69459892544066337</v>
      </c>
    </row>
    <row r="66" spans="1:14">
      <c r="A66" s="87" t="s">
        <v>208</v>
      </c>
      <c r="B66" s="103">
        <f t="shared" si="10"/>
        <v>6.3826072608568374E-2</v>
      </c>
      <c r="C66" s="103">
        <f t="shared" si="10"/>
        <v>2.9078300071969081E-2</v>
      </c>
      <c r="D66" s="103">
        <f t="shared" si="10"/>
        <v>0.10991597427204319</v>
      </c>
      <c r="E66" s="103">
        <f t="shared" si="10"/>
        <v>2.0525620465817344E-6</v>
      </c>
      <c r="F66" s="103">
        <f t="shared" si="10"/>
        <v>0.25656327125623146</v>
      </c>
      <c r="G66" s="103"/>
      <c r="I66" s="198" t="s">
        <v>314</v>
      </c>
      <c r="J66" s="202">
        <v>0.96846436923317303</v>
      </c>
      <c r="K66" s="203">
        <v>-4.8192771084337283E-2</v>
      </c>
      <c r="L66" s="203">
        <v>0.65616181256331063</v>
      </c>
      <c r="M66" s="203">
        <v>-0.99056249052622292</v>
      </c>
      <c r="N66" s="204">
        <v>-0.83253955237431398</v>
      </c>
    </row>
    <row r="67" spans="1:14">
      <c r="A67" s="87" t="s">
        <v>209</v>
      </c>
      <c r="B67" s="103">
        <f t="shared" si="10"/>
        <v>0.1778170505797303</v>
      </c>
      <c r="C67" s="103">
        <f t="shared" si="10"/>
        <v>0.25124478922793447</v>
      </c>
      <c r="D67" s="103">
        <f t="shared" si="10"/>
        <v>0.27995847942541274</v>
      </c>
      <c r="E67" s="103">
        <f t="shared" si="10"/>
        <v>0.15883207224715762</v>
      </c>
      <c r="F67" s="103">
        <f t="shared" si="10"/>
        <v>0.10580450392099565</v>
      </c>
      <c r="G67" s="103"/>
      <c r="I67" s="205" t="s">
        <v>315</v>
      </c>
      <c r="J67" s="206">
        <v>-0.19354838709677435</v>
      </c>
      <c r="K67" s="207">
        <v>0.67552447064767751</v>
      </c>
      <c r="L67" s="207" t="s">
        <v>308</v>
      </c>
      <c r="M67" s="207">
        <v>-0.86055815457637397</v>
      </c>
      <c r="N67" s="208">
        <v>0.51467752727272686</v>
      </c>
    </row>
    <row r="68" spans="1:14">
      <c r="A68" s="85"/>
      <c r="B68" s="103"/>
      <c r="C68" s="103"/>
      <c r="D68" s="103"/>
      <c r="E68" s="103"/>
      <c r="F68" s="103"/>
      <c r="G68" s="103"/>
    </row>
    <row r="69" spans="1:14">
      <c r="A69" s="153" t="s">
        <v>221</v>
      </c>
      <c r="B69" s="153" t="s">
        <v>268</v>
      </c>
      <c r="C69" s="153" t="s">
        <v>269</v>
      </c>
      <c r="D69" s="153" t="s">
        <v>270</v>
      </c>
      <c r="E69" s="153" t="s">
        <v>271</v>
      </c>
      <c r="F69" s="153" t="s">
        <v>272</v>
      </c>
      <c r="G69" s="103"/>
      <c r="I69" s="195" t="s">
        <v>304</v>
      </c>
      <c r="J69" s="196" t="s">
        <v>305</v>
      </c>
      <c r="K69" s="196" t="s">
        <v>306</v>
      </c>
      <c r="L69" s="196" t="s">
        <v>307</v>
      </c>
      <c r="M69" s="196" t="s">
        <v>310</v>
      </c>
      <c r="N69" s="197" t="s">
        <v>311</v>
      </c>
    </row>
    <row r="70" spans="1:14">
      <c r="A70" s="153" t="s">
        <v>206</v>
      </c>
      <c r="B70" s="103">
        <f t="shared" ref="B70:F73" si="11">BINOMDIST($G38*B$42/$G$42,B$42,$G38/$G$42,0)</f>
        <v>0.16934224128415595</v>
      </c>
      <c r="C70" s="103">
        <f t="shared" si="11"/>
        <v>0.14702468467858529</v>
      </c>
      <c r="D70" s="103">
        <f t="shared" si="11"/>
        <v>0.14702468467858529</v>
      </c>
      <c r="E70" s="103">
        <f t="shared" si="11"/>
        <v>0.15448765871537035</v>
      </c>
      <c r="F70" s="103">
        <f t="shared" si="11"/>
        <v>0.18965069592351039</v>
      </c>
      <c r="G70" s="103"/>
      <c r="I70" s="198" t="s">
        <v>312</v>
      </c>
      <c r="J70" s="199">
        <v>-0.69284608396728453</v>
      </c>
      <c r="K70" s="200">
        <v>-0.82629779904398248</v>
      </c>
      <c r="L70" s="200">
        <v>-0.81064355969957058</v>
      </c>
      <c r="M70" s="200">
        <v>0.99999557850682486</v>
      </c>
      <c r="N70" s="201" t="s">
        <v>308</v>
      </c>
    </row>
    <row r="71" spans="1:14">
      <c r="A71" s="153" t="s">
        <v>207</v>
      </c>
      <c r="B71" s="103">
        <f t="shared" si="11"/>
        <v>0.19780351036811605</v>
      </c>
      <c r="C71" s="103">
        <f t="shared" si="11"/>
        <v>0.16867892486868533</v>
      </c>
      <c r="D71" s="103">
        <f t="shared" si="11"/>
        <v>0.16867892486868533</v>
      </c>
      <c r="E71" s="103">
        <f t="shared" si="11"/>
        <v>0.19086303632011195</v>
      </c>
      <c r="F71" s="103">
        <f t="shared" si="11"/>
        <v>0.21939792216461237</v>
      </c>
      <c r="G71" s="103"/>
      <c r="I71" s="198" t="s">
        <v>313</v>
      </c>
      <c r="J71" s="202">
        <v>-0.48699919312622342</v>
      </c>
      <c r="K71" s="203">
        <v>-0.16825181811993095</v>
      </c>
      <c r="L71" s="203" t="s">
        <v>308</v>
      </c>
      <c r="M71" s="203">
        <v>0.50965527252010778</v>
      </c>
      <c r="N71" s="204">
        <v>0.69790080336140181</v>
      </c>
    </row>
    <row r="72" spans="1:14">
      <c r="A72" s="153" t="s">
        <v>208</v>
      </c>
      <c r="B72" s="103">
        <f t="shared" si="11"/>
        <v>0.26270811485686735</v>
      </c>
      <c r="C72" s="103">
        <f t="shared" si="11"/>
        <v>0.23338825203763822</v>
      </c>
      <c r="D72" s="103">
        <f t="shared" si="11"/>
        <v>0.23338825203763822</v>
      </c>
      <c r="E72" s="103">
        <f t="shared" si="11"/>
        <v>0.25349028626539838</v>
      </c>
      <c r="F72" s="103">
        <f t="shared" si="11"/>
        <v>0.28735086380697911</v>
      </c>
      <c r="G72" s="103"/>
      <c r="I72" s="198" t="s">
        <v>314</v>
      </c>
      <c r="J72" s="202">
        <v>0.96235235840313049</v>
      </c>
      <c r="K72" s="203">
        <v>-4.59535106518556E-2</v>
      </c>
      <c r="L72" s="203">
        <v>0.65197655249299102</v>
      </c>
      <c r="M72" s="203">
        <v>-0.98888114940138805</v>
      </c>
      <c r="N72" s="204">
        <v>-0.81036658480273749</v>
      </c>
    </row>
    <row r="73" spans="1:14">
      <c r="A73" s="153" t="s">
        <v>209</v>
      </c>
      <c r="B73" s="103">
        <f t="shared" si="11"/>
        <v>0.3200706910435146</v>
      </c>
      <c r="C73" s="103">
        <f t="shared" si="11"/>
        <v>0.27995847942541274</v>
      </c>
      <c r="D73" s="103">
        <f t="shared" si="11"/>
        <v>0.27995847942541274</v>
      </c>
      <c r="E73" s="103">
        <f t="shared" si="11"/>
        <v>0.30884014048058428</v>
      </c>
      <c r="F73" s="103">
        <f t="shared" si="11"/>
        <v>0.36002921473116573</v>
      </c>
      <c r="G73" s="103"/>
      <c r="I73" s="205" t="s">
        <v>315</v>
      </c>
      <c r="J73" s="206">
        <v>-0.14536735635882025</v>
      </c>
      <c r="K73" s="207">
        <v>0.60751014366771616</v>
      </c>
      <c r="L73" s="207" t="s">
        <v>308</v>
      </c>
      <c r="M73" s="207">
        <v>-0.77236931075081983</v>
      </c>
      <c r="N73" s="208">
        <v>0.46105435410116802</v>
      </c>
    </row>
    <row r="74" spans="1:14">
      <c r="A74" s="85"/>
      <c r="B74" s="103"/>
      <c r="C74" s="103"/>
      <c r="D74" s="103"/>
      <c r="E74" s="103"/>
      <c r="F74" s="103"/>
      <c r="G74" s="103"/>
    </row>
    <row r="75" spans="1:14">
      <c r="A75" s="293" t="s">
        <v>558</v>
      </c>
      <c r="B75" s="153" t="s">
        <v>268</v>
      </c>
      <c r="C75" s="153" t="s">
        <v>269</v>
      </c>
      <c r="D75" s="153" t="s">
        <v>270</v>
      </c>
      <c r="E75" s="153" t="s">
        <v>271</v>
      </c>
      <c r="F75" s="153" t="s">
        <v>272</v>
      </c>
      <c r="G75" s="103"/>
      <c r="I75" s="195" t="s">
        <v>317</v>
      </c>
      <c r="J75" s="196" t="s">
        <v>305</v>
      </c>
      <c r="K75" s="196" t="s">
        <v>306</v>
      </c>
      <c r="L75" s="196" t="s">
        <v>307</v>
      </c>
      <c r="M75" s="196" t="s">
        <v>310</v>
      </c>
      <c r="N75" s="197" t="s">
        <v>311</v>
      </c>
    </row>
    <row r="76" spans="1:14">
      <c r="A76" s="153" t="s">
        <v>206</v>
      </c>
      <c r="B76" s="103">
        <f>SIGN(B38-$G38*B$42/$G$42)*(1-B64/B70)</f>
        <v>-0.16129032258064513</v>
      </c>
      <c r="C76" s="103">
        <f t="shared" ref="C76:F76" si="12">SIGN(C38-$G38*C$42/$G$42)*(1-C64/C70)</f>
        <v>0.73330476694523694</v>
      </c>
      <c r="D76" s="103">
        <f t="shared" si="12"/>
        <v>0</v>
      </c>
      <c r="E76" s="103">
        <f t="shared" si="12"/>
        <v>-0.88037335990658105</v>
      </c>
      <c r="F76" s="103">
        <f t="shared" si="12"/>
        <v>0.5685500889642896</v>
      </c>
      <c r="G76" s="103"/>
      <c r="I76" s="198" t="s">
        <v>312</v>
      </c>
      <c r="J76" s="199">
        <v>-0.98154282301330142</v>
      </c>
      <c r="K76" s="200">
        <v>-0.98154282301330142</v>
      </c>
      <c r="L76" s="200">
        <v>-0.98154282301330142</v>
      </c>
      <c r="M76" s="200">
        <v>0.91685164895191329</v>
      </c>
      <c r="N76" s="201">
        <v>-0.89119979710867236</v>
      </c>
    </row>
    <row r="77" spans="1:14">
      <c r="A77" s="153" t="s">
        <v>283</v>
      </c>
      <c r="B77" s="103">
        <f t="shared" ref="B77:F77" si="13">SIGN(B39-$G39*B$42/$G$42)*(1-B65/B71)</f>
        <v>0.97266264314234241</v>
      </c>
      <c r="C77" s="103">
        <f t="shared" si="13"/>
        <v>-2.3529411764705799E-2</v>
      </c>
      <c r="D77" s="103">
        <f t="shared" si="13"/>
        <v>0.61384545683121616</v>
      </c>
      <c r="E77" s="103">
        <f t="shared" si="13"/>
        <v>-0.99178537376499476</v>
      </c>
      <c r="F77" s="103">
        <f t="shared" si="13"/>
        <v>-0.82013993427950549</v>
      </c>
      <c r="G77" s="103"/>
      <c r="I77" s="198" t="s">
        <v>313</v>
      </c>
      <c r="J77" s="202">
        <v>-0.98154282301330142</v>
      </c>
      <c r="K77" s="203">
        <v>-0.89119979710867236</v>
      </c>
      <c r="L77" s="203">
        <v>-0.68218887604295919</v>
      </c>
      <c r="M77" s="203">
        <v>0.38668027748026201</v>
      </c>
      <c r="N77" s="204">
        <v>0.38668027748026201</v>
      </c>
    </row>
    <row r="78" spans="1:14">
      <c r="A78" s="153" t="s">
        <v>208</v>
      </c>
      <c r="B78" s="103">
        <f t="shared" ref="B78:F78" si="14">SIGN(B40-$G40*B$42/$G$42)*(1-B66/B72)</f>
        <v>-0.75704567541302226</v>
      </c>
      <c r="C78" s="103">
        <f t="shared" si="14"/>
        <v>-0.87540803867334482</v>
      </c>
      <c r="D78" s="103">
        <f t="shared" si="14"/>
        <v>-0.52904238618524302</v>
      </c>
      <c r="E78" s="103">
        <f t="shared" si="14"/>
        <v>0.99999190279802508</v>
      </c>
      <c r="F78" s="103">
        <f t="shared" si="14"/>
        <v>-0.10714285714285676</v>
      </c>
      <c r="G78" s="103"/>
      <c r="I78" s="198" t="s">
        <v>314</v>
      </c>
      <c r="J78" s="202">
        <v>0.91685164895191329</v>
      </c>
      <c r="K78" s="203">
        <v>0.25194563014059057</v>
      </c>
      <c r="L78" s="203">
        <v>0.82962740101501375</v>
      </c>
      <c r="M78" s="203">
        <v>-0.98154282301330142</v>
      </c>
      <c r="N78" s="204">
        <v>-0.89119979710867236</v>
      </c>
    </row>
    <row r="79" spans="1:14">
      <c r="A79" s="153" t="s">
        <v>209</v>
      </c>
      <c r="B79" s="103">
        <f t="shared" ref="B79:F79" si="15">SIGN(B41-$G41*B$42/$G$42)*(1-B67/B73)</f>
        <v>-0.44444444444444453</v>
      </c>
      <c r="C79" s="103">
        <f t="shared" si="15"/>
        <v>-0.10256410256410275</v>
      </c>
      <c r="D79" s="103">
        <f t="shared" si="15"/>
        <v>0</v>
      </c>
      <c r="E79" s="103">
        <f t="shared" si="15"/>
        <v>0.48571428571428577</v>
      </c>
      <c r="F79" s="103">
        <f t="shared" si="15"/>
        <v>0.70612244897959187</v>
      </c>
      <c r="G79" s="103"/>
      <c r="I79" s="205" t="s">
        <v>315</v>
      </c>
      <c r="J79" s="206">
        <v>-0.82962740101501375</v>
      </c>
      <c r="K79" s="207">
        <v>0.99998690929443323</v>
      </c>
      <c r="L79" s="207">
        <v>-0.9944499513135836</v>
      </c>
      <c r="M79" s="207">
        <v>-0.25194563014059057</v>
      </c>
      <c r="N79" s="208">
        <v>0.96316673865095281</v>
      </c>
    </row>
    <row r="80" spans="1:14">
      <c r="A80" s="85"/>
      <c r="B80" s="103"/>
      <c r="C80" s="103"/>
      <c r="D80" s="103"/>
      <c r="E80" s="103"/>
      <c r="F80" s="103"/>
      <c r="G80" s="103"/>
    </row>
    <row r="81" spans="1:15">
      <c r="A81" s="153" t="s">
        <v>253</v>
      </c>
      <c r="B81" s="153" t="s">
        <v>268</v>
      </c>
      <c r="C81" s="153" t="s">
        <v>269</v>
      </c>
      <c r="D81" s="153" t="s">
        <v>270</v>
      </c>
      <c r="E81" s="153" t="s">
        <v>271</v>
      </c>
      <c r="F81" s="153" t="s">
        <v>272</v>
      </c>
      <c r="G81" s="103"/>
      <c r="I81" s="171" t="s">
        <v>563</v>
      </c>
      <c r="J81" s="172" t="s">
        <v>268</v>
      </c>
      <c r="K81" s="172" t="s">
        <v>269</v>
      </c>
      <c r="L81" s="172" t="s">
        <v>270</v>
      </c>
      <c r="M81" s="172" t="s">
        <v>271</v>
      </c>
      <c r="N81" s="173" t="s">
        <v>272</v>
      </c>
    </row>
    <row r="82" spans="1:15">
      <c r="A82" s="153" t="s">
        <v>206</v>
      </c>
      <c r="B82" s="103">
        <f>SIGN(B38-$G38*B$42/$G$42)*(1-(B46+B64)/(B52+B70))</f>
        <v>-0.11862466005898964</v>
      </c>
      <c r="C82" s="103">
        <f t="shared" ref="C82:F82" si="16">SIGN(C38-$G38*C$42/$G$42)*(1-(C46+C64)/(C52+C70))</f>
        <v>0.66333005042977622</v>
      </c>
      <c r="D82" s="103">
        <f t="shared" si="16"/>
        <v>0</v>
      </c>
      <c r="E82" s="103">
        <f t="shared" si="16"/>
        <v>-0.80144239938559969</v>
      </c>
      <c r="F82" s="103">
        <f t="shared" si="16"/>
        <v>0.50787671622436048</v>
      </c>
      <c r="G82" s="103"/>
      <c r="I82" s="174" t="s">
        <v>206</v>
      </c>
      <c r="J82" s="119">
        <v>-1</v>
      </c>
      <c r="K82" s="120">
        <v>1</v>
      </c>
      <c r="L82" s="120">
        <v>-1</v>
      </c>
      <c r="M82" s="120">
        <v>-1</v>
      </c>
      <c r="N82" s="121">
        <v>1</v>
      </c>
    </row>
    <row r="83" spans="1:15">
      <c r="A83" s="153" t="s">
        <v>207</v>
      </c>
      <c r="B83" s="103">
        <f t="shared" ref="B83:F83" si="17">SIGN(B39-$G39*B$42/$G$42)*(1-(B47+B65)/(B53+B71))</f>
        <v>0.96713277421245725</v>
      </c>
      <c r="C83" s="103">
        <f t="shared" si="17"/>
        <v>-2.1624550235204376E-2</v>
      </c>
      <c r="D83" s="103">
        <f t="shared" si="17"/>
        <v>0.61135590390735128</v>
      </c>
      <c r="E83" s="103">
        <f t="shared" si="17"/>
        <v>-0.99052774513443742</v>
      </c>
      <c r="F83" s="103">
        <f t="shared" si="17"/>
        <v>-0.79732673672487753</v>
      </c>
      <c r="G83" s="103"/>
      <c r="I83" s="174" t="s">
        <v>207</v>
      </c>
      <c r="J83" s="124">
        <v>1</v>
      </c>
      <c r="K83" s="125">
        <v>1</v>
      </c>
      <c r="L83" s="125">
        <v>1</v>
      </c>
      <c r="M83" s="125">
        <v>-1</v>
      </c>
      <c r="N83" s="126">
        <v>-1</v>
      </c>
    </row>
    <row r="84" spans="1:15">
      <c r="A84" s="153" t="s">
        <v>208</v>
      </c>
      <c r="B84" s="103">
        <f t="shared" ref="B84:F84" si="18">SIGN(B40-$G40*B$42/$G$42)*(1-(B48+B66)/(B54+B72))</f>
        <v>-0.77090749710029072</v>
      </c>
      <c r="C84" s="103">
        <f t="shared" si="18"/>
        <v>-0.89222193006994643</v>
      </c>
      <c r="D84" s="103">
        <f t="shared" si="18"/>
        <v>-0.56589051117576572</v>
      </c>
      <c r="E84" s="103">
        <f t="shared" si="18"/>
        <v>0.99999568322044752</v>
      </c>
      <c r="F84" s="103">
        <f t="shared" si="18"/>
        <v>-0.11471034406893854</v>
      </c>
      <c r="G84" s="103"/>
      <c r="I84" s="174" t="s">
        <v>208</v>
      </c>
      <c r="J84" s="124">
        <v>-1</v>
      </c>
      <c r="K84" s="125">
        <v>-1</v>
      </c>
      <c r="L84" s="125">
        <v>-1</v>
      </c>
      <c r="M84" s="125">
        <v>1</v>
      </c>
      <c r="N84" s="126">
        <v>-1</v>
      </c>
    </row>
    <row r="85" spans="1:15">
      <c r="A85" s="153" t="s">
        <v>209</v>
      </c>
      <c r="B85" s="103">
        <f t="shared" ref="B85:F85" si="19">SIGN(B41-$G41*B$42/$G$42)*(1-(B49+B67)/(B55+B73))</f>
        <v>-0.47644396799016941</v>
      </c>
      <c r="C85" s="103">
        <f t="shared" si="19"/>
        <v>-0.15042981668619748</v>
      </c>
      <c r="D85" s="103">
        <f t="shared" si="19"/>
        <v>0</v>
      </c>
      <c r="E85" s="103">
        <f t="shared" si="19"/>
        <v>0.47594451834680185</v>
      </c>
      <c r="F85" s="103">
        <f t="shared" si="19"/>
        <v>0.70976633125120703</v>
      </c>
      <c r="G85" s="103"/>
      <c r="I85" s="175" t="s">
        <v>209</v>
      </c>
      <c r="J85" s="132">
        <v>-1</v>
      </c>
      <c r="K85" s="133">
        <v>-1</v>
      </c>
      <c r="L85" s="133">
        <v>-1</v>
      </c>
      <c r="M85" s="133">
        <v>1</v>
      </c>
      <c r="N85" s="134">
        <v>1</v>
      </c>
    </row>
    <row r="86" spans="1:15">
      <c r="A86" s="85"/>
      <c r="B86" s="103"/>
      <c r="C86" s="103"/>
      <c r="D86" s="103"/>
      <c r="E86" s="103"/>
      <c r="F86" s="103"/>
      <c r="G86" s="103"/>
    </row>
    <row r="87" spans="1:15" s="34" customFormat="1">
      <c r="A87" s="194" t="s">
        <v>245</v>
      </c>
      <c r="B87" s="153" t="s">
        <v>268</v>
      </c>
      <c r="C87" s="153" t="s">
        <v>269</v>
      </c>
      <c r="D87" s="153" t="s">
        <v>270</v>
      </c>
      <c r="E87" s="153" t="s">
        <v>271</v>
      </c>
      <c r="F87" s="153" t="s">
        <v>272</v>
      </c>
      <c r="G87" s="153"/>
      <c r="H87" s="141"/>
      <c r="I87" s="171" t="s">
        <v>563</v>
      </c>
      <c r="J87" s="172" t="s">
        <v>268</v>
      </c>
      <c r="K87" s="172" t="s">
        <v>269</v>
      </c>
      <c r="L87" s="172" t="s">
        <v>270</v>
      </c>
      <c r="M87" s="172" t="s">
        <v>271</v>
      </c>
      <c r="N87" s="173" t="s">
        <v>272</v>
      </c>
      <c r="O87" s="141"/>
    </row>
    <row r="88" spans="1:15">
      <c r="A88" s="87" t="s">
        <v>206</v>
      </c>
      <c r="B88" s="103">
        <f>BINOMDIST(B38,$G$42,1/20,0)</f>
        <v>3.2050745629049762E-2</v>
      </c>
      <c r="C88" s="103">
        <f t="shared" ref="C88:F88" si="20">BINOMDIST(C38,$G$42,1/20,0)</f>
        <v>2.95406799644204E-6</v>
      </c>
      <c r="D88" s="103">
        <f t="shared" si="20"/>
        <v>1.1297192367743067E-3</v>
      </c>
      <c r="E88" s="103">
        <f t="shared" si="20"/>
        <v>0.13290841984209514</v>
      </c>
      <c r="F88" s="103">
        <f t="shared" si="20"/>
        <v>7.2048935444132605E-3</v>
      </c>
      <c r="G88" s="103"/>
      <c r="I88" s="174" t="s">
        <v>206</v>
      </c>
      <c r="J88" s="119">
        <v>-0.11862466005898964</v>
      </c>
      <c r="K88" s="120">
        <v>0.66333005042977622</v>
      </c>
      <c r="L88" s="120">
        <v>0</v>
      </c>
      <c r="M88" s="120">
        <v>-0.80144239938559969</v>
      </c>
      <c r="N88" s="121">
        <v>0.50787671622436048</v>
      </c>
    </row>
    <row r="89" spans="1:15">
      <c r="A89" s="87" t="s">
        <v>207</v>
      </c>
      <c r="B89" s="103">
        <f t="shared" ref="B89:F89" si="21">BINOMDIST(B39,$G$42,1/20,0)</f>
        <v>1.5948696389574985E-2</v>
      </c>
      <c r="C89" s="103">
        <f t="shared" si="21"/>
        <v>0.13290841984209514</v>
      </c>
      <c r="D89" s="103">
        <f t="shared" si="21"/>
        <v>3.2050745629049762E-2</v>
      </c>
      <c r="E89" s="103">
        <f t="shared" si="21"/>
        <v>2.8872939638792789E-3</v>
      </c>
      <c r="F89" s="103">
        <f t="shared" si="21"/>
        <v>1.7323763783275686E-2</v>
      </c>
      <c r="G89" s="103"/>
      <c r="I89" s="174" t="s">
        <v>207</v>
      </c>
      <c r="J89" s="124">
        <v>0.96713277421245725</v>
      </c>
      <c r="K89" s="125">
        <v>-2.1624550235204376E-2</v>
      </c>
      <c r="L89" s="125">
        <v>0.61135590390735128</v>
      </c>
      <c r="M89" s="125">
        <v>-0.99052774513443742</v>
      </c>
      <c r="N89" s="126">
        <v>-0.79732673672487753</v>
      </c>
    </row>
    <row r="90" spans="1:15">
      <c r="A90" s="87" t="s">
        <v>208</v>
      </c>
      <c r="B90" s="103">
        <f t="shared" ref="B90:F90" si="22">BINOMDIST(B40,$G$42,1/20,0)</f>
        <v>2.8872939638792789E-3</v>
      </c>
      <c r="C90" s="103">
        <f t="shared" si="22"/>
        <v>2.8872939638792789E-3</v>
      </c>
      <c r="D90" s="103">
        <f t="shared" si="22"/>
        <v>1.7323763783275686E-2</v>
      </c>
      <c r="E90" s="103">
        <f t="shared" si="22"/>
        <v>7.2048935444132605E-3</v>
      </c>
      <c r="F90" s="103">
        <f t="shared" si="22"/>
        <v>1.7323763783275686E-2</v>
      </c>
      <c r="G90" s="103"/>
      <c r="I90" s="174" t="s">
        <v>208</v>
      </c>
      <c r="J90" s="124">
        <v>-0.77090749710029072</v>
      </c>
      <c r="K90" s="125">
        <v>-0.89222193006994643</v>
      </c>
      <c r="L90" s="125">
        <v>-0.56589051117576572</v>
      </c>
      <c r="M90" s="125">
        <v>0.99999568322044752</v>
      </c>
      <c r="N90" s="126">
        <v>-0.11471034406893854</v>
      </c>
    </row>
    <row r="91" spans="1:15">
      <c r="A91" s="87" t="s">
        <v>209</v>
      </c>
      <c r="B91" s="103">
        <f t="shared" ref="B91:F91" si="23">BINOMDIST(B41,$G$42,1/20,0)</f>
        <v>2.8872939638792789E-3</v>
      </c>
      <c r="C91" s="103">
        <f t="shared" si="23"/>
        <v>1.7323763783275686E-2</v>
      </c>
      <c r="D91" s="103">
        <f t="shared" si="23"/>
        <v>5.1515402829214546E-2</v>
      </c>
      <c r="E91" s="103">
        <f t="shared" si="23"/>
        <v>0.10122324766442153</v>
      </c>
      <c r="F91" s="103">
        <f t="shared" si="23"/>
        <v>0.10122324766442153</v>
      </c>
      <c r="G91" s="103"/>
      <c r="I91" s="175" t="s">
        <v>209</v>
      </c>
      <c r="J91" s="132">
        <v>-0.47644396799016941</v>
      </c>
      <c r="K91" s="133">
        <v>-0.15042981668619748</v>
      </c>
      <c r="L91" s="133">
        <v>0</v>
      </c>
      <c r="M91" s="133">
        <v>0.47594451834680185</v>
      </c>
      <c r="N91" s="134">
        <v>0.70976633125120703</v>
      </c>
    </row>
    <row r="92" spans="1:15">
      <c r="A92" s="85"/>
      <c r="B92" s="103"/>
      <c r="C92" s="103"/>
      <c r="D92" s="103"/>
      <c r="E92" s="103"/>
      <c r="F92" s="103"/>
      <c r="G92" s="103"/>
    </row>
    <row r="93" spans="1:15" s="34" customFormat="1">
      <c r="A93" s="153" t="s">
        <v>221</v>
      </c>
      <c r="B93" s="153" t="s">
        <v>268</v>
      </c>
      <c r="C93" s="153" t="s">
        <v>269</v>
      </c>
      <c r="D93" s="153" t="s">
        <v>270</v>
      </c>
      <c r="E93" s="153" t="s">
        <v>271</v>
      </c>
      <c r="F93" s="153" t="s">
        <v>272</v>
      </c>
      <c r="G93" s="153"/>
      <c r="H93" s="141"/>
      <c r="I93" s="141"/>
      <c r="J93" s="141"/>
      <c r="K93" s="141"/>
      <c r="L93" s="141"/>
      <c r="M93" s="141"/>
      <c r="N93" s="141"/>
      <c r="O93" s="141"/>
    </row>
    <row r="94" spans="1:15">
      <c r="A94" s="153" t="s">
        <v>206</v>
      </c>
      <c r="B94" s="103">
        <f>BINOMDIST($G$42/20,$G$42,1/20,0)</f>
        <v>0.17118225124412564</v>
      </c>
      <c r="C94" s="103">
        <f t="shared" ref="C94:F97" si="24">BINOMDIST($G$42/20,$G$42,1/20,0)</f>
        <v>0.17118225124412564</v>
      </c>
      <c r="D94" s="103">
        <f t="shared" si="24"/>
        <v>0.17118225124412564</v>
      </c>
      <c r="E94" s="103">
        <f t="shared" si="24"/>
        <v>0.17118225124412564</v>
      </c>
      <c r="F94" s="103">
        <f t="shared" si="24"/>
        <v>0.17118225124412564</v>
      </c>
      <c r="G94" s="103"/>
    </row>
    <row r="95" spans="1:15">
      <c r="A95" s="153" t="s">
        <v>207</v>
      </c>
      <c r="B95" s="103">
        <f>BINOMDIST($G$42/20,$G$42,1/20,0)</f>
        <v>0.17118225124412564</v>
      </c>
      <c r="C95" s="103">
        <f t="shared" si="24"/>
        <v>0.17118225124412564</v>
      </c>
      <c r="D95" s="103">
        <f t="shared" si="24"/>
        <v>0.17118225124412564</v>
      </c>
      <c r="E95" s="103">
        <f t="shared" si="24"/>
        <v>0.17118225124412564</v>
      </c>
      <c r="F95" s="103">
        <f t="shared" si="24"/>
        <v>0.17118225124412564</v>
      </c>
      <c r="G95" s="103"/>
    </row>
    <row r="96" spans="1:15">
      <c r="A96" s="153" t="s">
        <v>208</v>
      </c>
      <c r="B96" s="103">
        <f t="shared" ref="B96:B97" si="25">BINOMDIST($G$42/20,$G$42,1/20,0)</f>
        <v>0.17118225124412564</v>
      </c>
      <c r="C96" s="103">
        <f t="shared" si="24"/>
        <v>0.17118225124412564</v>
      </c>
      <c r="D96" s="103">
        <f t="shared" si="24"/>
        <v>0.17118225124412564</v>
      </c>
      <c r="E96" s="103">
        <f t="shared" si="24"/>
        <v>0.17118225124412564</v>
      </c>
      <c r="F96" s="103">
        <f t="shared" si="24"/>
        <v>0.17118225124412564</v>
      </c>
      <c r="G96" s="103"/>
    </row>
    <row r="97" spans="1:7">
      <c r="A97" s="153" t="s">
        <v>209</v>
      </c>
      <c r="B97" s="103">
        <f t="shared" si="25"/>
        <v>0.17118225124412564</v>
      </c>
      <c r="C97" s="103">
        <f t="shared" si="24"/>
        <v>0.17118225124412564</v>
      </c>
      <c r="D97" s="103">
        <f t="shared" si="24"/>
        <v>0.17118225124412564</v>
      </c>
      <c r="E97" s="103">
        <f t="shared" si="24"/>
        <v>0.17118225124412564</v>
      </c>
      <c r="F97" s="103">
        <f t="shared" si="24"/>
        <v>0.17118225124412564</v>
      </c>
      <c r="G97" s="103"/>
    </row>
    <row r="98" spans="1:7">
      <c r="A98" s="85"/>
      <c r="B98" s="29"/>
      <c r="C98" s="29"/>
      <c r="D98" s="29"/>
      <c r="E98" s="29"/>
      <c r="F98" s="29"/>
      <c r="G98" s="29"/>
    </row>
    <row r="99" spans="1:7">
      <c r="A99" s="153" t="s">
        <v>246</v>
      </c>
      <c r="B99" s="153" t="s">
        <v>268</v>
      </c>
      <c r="C99" s="153" t="s">
        <v>269</v>
      </c>
      <c r="D99" s="153" t="s">
        <v>270</v>
      </c>
      <c r="E99" s="153" t="s">
        <v>271</v>
      </c>
      <c r="F99" s="153" t="s">
        <v>272</v>
      </c>
    </row>
    <row r="100" spans="1:7">
      <c r="A100" s="153" t="s">
        <v>206</v>
      </c>
      <c r="B100" s="103">
        <f>SIGN(B38-$G38*B$42/$G$42)*(1-B88/B94)</f>
        <v>-0.81276828995932704</v>
      </c>
      <c r="C100" s="103">
        <f t="shared" ref="C100:F100" si="26">SIGN(C38-$G38*C$42/$G$42)*(1-C88/C94)</f>
        <v>0.99998274314086322</v>
      </c>
      <c r="D100" s="103">
        <f t="shared" si="26"/>
        <v>-0.99340048849361606</v>
      </c>
      <c r="E100" s="103">
        <f t="shared" si="26"/>
        <v>-0.22358527898694125</v>
      </c>
      <c r="F100" s="103">
        <f t="shared" si="26"/>
        <v>0.95791097796617797</v>
      </c>
    </row>
    <row r="101" spans="1:7">
      <c r="A101" s="153" t="s">
        <v>207</v>
      </c>
      <c r="B101" s="103">
        <f t="shared" ref="B101:F101" si="27">SIGN(B39-$G39*B$42/$G$42)*(1-B89/B95)</f>
        <v>0.90683206773095715</v>
      </c>
      <c r="C101" s="103">
        <f t="shared" si="27"/>
        <v>0.22358527898694125</v>
      </c>
      <c r="D101" s="103">
        <f t="shared" si="27"/>
        <v>0.81276828995932704</v>
      </c>
      <c r="E101" s="103">
        <f t="shared" si="27"/>
        <v>-0.98313321654029617</v>
      </c>
      <c r="F101" s="103">
        <f t="shared" si="27"/>
        <v>-0.89879929924177715</v>
      </c>
    </row>
    <row r="102" spans="1:7">
      <c r="A102" s="153" t="s">
        <v>208</v>
      </c>
      <c r="B102" s="103">
        <f t="shared" ref="B102:F102" si="28">SIGN(B40-$G40*B$42/$G$42)*(1-B90/B96)</f>
        <v>-0.98313321654029617</v>
      </c>
      <c r="C102" s="103">
        <f t="shared" si="28"/>
        <v>-0.98313321654029617</v>
      </c>
      <c r="D102" s="103">
        <f t="shared" si="28"/>
        <v>-0.89879929924177715</v>
      </c>
      <c r="E102" s="103">
        <f t="shared" si="28"/>
        <v>0.95791097796617797</v>
      </c>
      <c r="F102" s="103">
        <f t="shared" si="28"/>
        <v>-0.89879929924177715</v>
      </c>
    </row>
    <row r="103" spans="1:7">
      <c r="A103" s="153" t="s">
        <v>209</v>
      </c>
      <c r="B103" s="103">
        <f t="shared" ref="B103:F103" si="29">SIGN(B41-$G41*B$42/$G$42)*(1-B91/B97)</f>
        <v>-0.98313321654029617</v>
      </c>
      <c r="C103" s="103">
        <f t="shared" si="29"/>
        <v>-0.89879929924177715</v>
      </c>
      <c r="D103" s="103">
        <f t="shared" si="29"/>
        <v>-0.69906107406107409</v>
      </c>
      <c r="E103" s="103">
        <f t="shared" si="29"/>
        <v>0.40868140868140879</v>
      </c>
      <c r="F103" s="103">
        <f t="shared" si="29"/>
        <v>0.40868140868140879</v>
      </c>
    </row>
    <row r="104" spans="1:7">
      <c r="A104" s="153"/>
      <c r="B104" s="103"/>
      <c r="C104" s="103"/>
      <c r="D104" s="103"/>
      <c r="E104" s="103"/>
      <c r="F104" s="103"/>
    </row>
  </sheetData>
  <phoneticPr fontId="2"/>
  <conditionalFormatting sqref="B6:F11">
    <cfRule type="dataBar" priority="1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{BD103623-DA9C-48E0-A1C1-C145380CE8EB}</x14:id>
        </ext>
      </extLst>
    </cfRule>
  </conditionalFormatting>
  <conditionalFormatting sqref="A3">
    <cfRule type="dataBar" priority="1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{33C81BF9-97A0-4A73-8DCB-BEA504AB9D65}</x14:id>
        </ext>
      </extLst>
    </cfRule>
  </conditionalFormatting>
  <conditionalFormatting sqref="B6:F11">
    <cfRule type="dataBar" priority="6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{EBBA75E3-3726-413D-9648-E46593892D16}</x14:id>
        </ext>
      </extLst>
    </cfRule>
  </conditionalFormatting>
  <conditionalFormatting sqref="B6:F10 C35:G35 B14:E24 E14:G14 F14:F29 C25:F34 G15:G34">
    <cfRule type="dataBar" priority="39">
      <dataBar>
        <cfvo type="num" val="0"/>
        <cfvo type="num" val="1"/>
        <color theme="4" tint="0.79998168889431442"/>
      </dataBar>
      <extLst>
        <ext xmlns:x14="http://schemas.microsoft.com/office/spreadsheetml/2009/9/main" uri="{B025F937-C7B1-47D3-B67F-A62EFF666E3E}">
          <x14:id>{66051AF2-E9CD-4BC8-9EC9-286B7E1637DF}</x14:id>
        </ext>
      </extLst>
    </cfRule>
  </conditionalFormatting>
  <conditionalFormatting sqref="B46:G50 A52:F55 B56:G56 G51:G55 B62:G68 G57:G61 B74:G74 A69:G73 B80:G80 A93:G97 B86:G92 A75:G79 A81:G85 A58:F61 A99:F104">
    <cfRule type="dataBar" priority="208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{A6E58A48-F8EE-4B15-BDB2-D8327E380CF2}</x14:id>
        </ext>
      </extLst>
    </cfRule>
  </conditionalFormatting>
  <conditionalFormatting sqref="B46:G50 A52:F55 B56:G56 G51:G55 B62:G68 G57:G61 B74:G74 A69:G73 B80:G80 A93:G97 B86:G92 A75:G79 A81:G85 A58:F61 A99:F104">
    <cfRule type="dataBar" priority="209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{81C5F256-2AB6-4368-829C-9565FC8B1A9B}</x14:id>
        </ext>
      </extLst>
    </cfRule>
  </conditionalFormatting>
  <conditionalFormatting sqref="B14:E24 C35:G35 E14:G14 F14:F29 C25:F34 G15:G34">
    <cfRule type="dataBar" priority="2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{7C67C502-22EB-4FFA-8D35-3E07988FD0C9}</x14:id>
        </ext>
      </extLst>
    </cfRule>
  </conditionalFormatting>
  <conditionalFormatting sqref="B14:E24 C35:G35 E14:G14 F14:F29 C25:F34 G15:G34">
    <cfRule type="dataBar" priority="211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{B430BBAF-6F29-42DD-BB99-B710E4F5F565}</x14:id>
        </ext>
      </extLst>
    </cfRule>
  </conditionalFormatting>
  <conditionalFormatting sqref="I57:N61">
    <cfRule type="dataBar" priority="20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{0C1F054F-219C-48AA-9E33-C36DD5F8A4B9}</x14:id>
        </ext>
      </extLst>
    </cfRule>
  </conditionalFormatting>
  <conditionalFormatting sqref="I57:N61">
    <cfRule type="dataBar" priority="19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{765A9CB6-E5AC-4F36-AD1A-DEFD7D13A36F}</x14:id>
        </ext>
      </extLst>
    </cfRule>
  </conditionalFormatting>
  <conditionalFormatting sqref="I57:N61">
    <cfRule type="dataBar" priority="18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{2653B1E4-F8D8-4F90-96CD-22F42E783A3D}</x14:id>
        </ext>
      </extLst>
    </cfRule>
  </conditionalFormatting>
  <conditionalFormatting sqref="I57:N61">
    <cfRule type="dataBar" priority="17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{98831BB4-8D26-4BFA-8D64-3986FA12D255}</x14:id>
        </ext>
      </extLst>
    </cfRule>
  </conditionalFormatting>
  <conditionalFormatting sqref="I57:N67">
    <cfRule type="dataBar" priority="16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{4891ED6B-32A3-4677-AE6D-329EE2610B72}</x14:id>
        </ext>
      </extLst>
    </cfRule>
  </conditionalFormatting>
  <conditionalFormatting sqref="I57:N61">
    <cfRule type="dataBar" priority="15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{EAA460D2-5C74-4E99-8B21-D6B055EA52A1}</x14:id>
        </ext>
      </extLst>
    </cfRule>
  </conditionalFormatting>
  <conditionalFormatting sqref="I57:N67">
    <cfRule type="dataBar" priority="14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{2DC38D0C-5D3B-481B-B73A-D78F0BCDF6D8}</x14:id>
        </ext>
      </extLst>
    </cfRule>
  </conditionalFormatting>
  <conditionalFormatting sqref="I57:N73">
    <cfRule type="dataBar" priority="13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{E5EED065-8D9E-41CE-8CEA-38B598B270B5}</x14:id>
        </ext>
      </extLst>
    </cfRule>
  </conditionalFormatting>
  <conditionalFormatting sqref="I57:N79">
    <cfRule type="dataBar" priority="12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{53D80AAE-3F69-4561-9B0A-25922A5B22E5}</x14:id>
        </ext>
      </extLst>
    </cfRule>
  </conditionalFormatting>
  <conditionalFormatting sqref="I57:N61">
    <cfRule type="dataBar" priority="11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{B8BE33D0-0FC7-4A0D-84BC-0F950ED39F8A}</x14:id>
        </ext>
      </extLst>
    </cfRule>
  </conditionalFormatting>
  <conditionalFormatting sqref="I57:N67">
    <cfRule type="dataBar" priority="10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{B44130BA-2224-44DD-A3A2-E58C4020378D}</x14:id>
        </ext>
      </extLst>
    </cfRule>
  </conditionalFormatting>
  <conditionalFormatting sqref="I57:N73">
    <cfRule type="dataBar" priority="9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{23B81B33-976B-4F2D-A22E-4AC0440360B0}</x14:id>
        </ext>
      </extLst>
    </cfRule>
  </conditionalFormatting>
  <conditionalFormatting sqref="I57:N79">
    <cfRule type="dataBar" priority="8">
      <dataBar>
        <cfvo type="num" val="-1"/>
        <cfvo type="num" val="1"/>
        <color theme="4" tint="0.79995117038483843"/>
      </dataBar>
      <extLst>
        <ext xmlns:x14="http://schemas.microsoft.com/office/spreadsheetml/2009/9/main" uri="{B025F937-C7B1-47D3-B67F-A62EFF666E3E}">
          <x14:id>{A9A8ABB9-73C1-4F8A-AA89-B29549CF2F01}</x14:id>
        </ext>
      </extLst>
    </cfRule>
  </conditionalFormatting>
  <conditionalFormatting sqref="B38:F41">
    <cfRule type="dataBar" priority="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{FBBC271A-C166-4DF0-A997-995D6F4850E8}</x14:id>
        </ext>
      </extLst>
    </cfRule>
  </conditionalFormatting>
  <conditionalFormatting sqref="B38:F41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{7A0D001C-B8B9-4580-AC0C-7516E6D63EE3}</x14:id>
        </ext>
      </extLst>
    </cfRule>
  </conditionalFormatting>
  <conditionalFormatting sqref="A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{B45A4505-B88C-480F-9126-E37D5EC62CA3}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103623-DA9C-48E0-A1C1-C145380CE8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B6:F11</xm:sqref>
        </x14:conditionalFormatting>
        <x14:conditionalFormatting xmlns:xm="http://schemas.microsoft.com/office/excel/2006/main">
          <x14:cfRule type="dataBar" id="{33C81BF9-97A0-4A73-8DCB-BEA504AB9D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EBBA75E3-3726-413D-9648-E46593892D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B6:F11</xm:sqref>
        </x14:conditionalFormatting>
        <x14:conditionalFormatting xmlns:xm="http://schemas.microsoft.com/office/excel/2006/main">
          <x14:cfRule type="dataBar" id="{66051AF2-E9CD-4BC8-9EC9-286B7E1637D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B6:F10 C35:G35 B14:E24 E14:G14 F14:F29 C25:F34 G15:G34</xm:sqref>
        </x14:conditionalFormatting>
        <x14:conditionalFormatting xmlns:xm="http://schemas.microsoft.com/office/excel/2006/main">
          <x14:cfRule type="dataBar" id="{A6E58A48-F8EE-4B15-BDB2-D8327E380CF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B46:G50 A52:F55 B56:G56 G51:G55 B62:G68 G57:G61 B74:G74 A69:G73 B80:G80 A93:G97 B86:G92 A75:G79 A81:G85 A58:F61 A99:F104</xm:sqref>
        </x14:conditionalFormatting>
        <x14:conditionalFormatting xmlns:xm="http://schemas.microsoft.com/office/excel/2006/main">
          <x14:cfRule type="dataBar" id="{81C5F256-2AB6-4368-829C-9565FC8B1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B46:G50 A52:F55 B56:G56 G51:G55 B62:G68 G57:G61 B74:G74 A69:G73 B80:G80 A93:G97 B86:G92 A75:G79 A81:G85 A58:F61 A99:F104</xm:sqref>
        </x14:conditionalFormatting>
        <x14:conditionalFormatting xmlns:xm="http://schemas.microsoft.com/office/excel/2006/main">
          <x14:cfRule type="dataBar" id="{7C67C502-22EB-4FFA-8D35-3E07988FD0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B14:E24 C35:G35 E14:G14 F14:F29 C25:F34 G15:G34</xm:sqref>
        </x14:conditionalFormatting>
        <x14:conditionalFormatting xmlns:xm="http://schemas.microsoft.com/office/excel/2006/main">
          <x14:cfRule type="dataBar" id="{B430BBAF-6F29-42DD-BB99-B710E4F5F5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B14:E24 C35:G35 E14:G14 F14:F29 C25:F34 G15:G34</xm:sqref>
        </x14:conditionalFormatting>
        <x14:conditionalFormatting xmlns:xm="http://schemas.microsoft.com/office/excel/2006/main">
          <x14:cfRule type="dataBar" id="{0C1F054F-219C-48AA-9E33-C36DD5F8A4B9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I57:N61</xm:sqref>
        </x14:conditionalFormatting>
        <x14:conditionalFormatting xmlns:xm="http://schemas.microsoft.com/office/excel/2006/main">
          <x14:cfRule type="dataBar" id="{765A9CB6-E5AC-4F36-AD1A-DEFD7D13A36F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I57:N61</xm:sqref>
        </x14:conditionalFormatting>
        <x14:conditionalFormatting xmlns:xm="http://schemas.microsoft.com/office/excel/2006/main">
          <x14:cfRule type="dataBar" id="{2653B1E4-F8D8-4F90-96CD-22F42E783A3D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I57:N61</xm:sqref>
        </x14:conditionalFormatting>
        <x14:conditionalFormatting xmlns:xm="http://schemas.microsoft.com/office/excel/2006/main">
          <x14:cfRule type="dataBar" id="{98831BB4-8D26-4BFA-8D64-3986FA12D25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I57:N61</xm:sqref>
        </x14:conditionalFormatting>
        <x14:conditionalFormatting xmlns:xm="http://schemas.microsoft.com/office/excel/2006/main">
          <x14:cfRule type="dataBar" id="{4891ED6B-32A3-4677-AE6D-329EE2610B72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I57:N67</xm:sqref>
        </x14:conditionalFormatting>
        <x14:conditionalFormatting xmlns:xm="http://schemas.microsoft.com/office/excel/2006/main">
          <x14:cfRule type="dataBar" id="{EAA460D2-5C74-4E99-8B21-D6B055EA52A1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I57:N61</xm:sqref>
        </x14:conditionalFormatting>
        <x14:conditionalFormatting xmlns:xm="http://schemas.microsoft.com/office/excel/2006/main">
          <x14:cfRule type="dataBar" id="{2DC38D0C-5D3B-481B-B73A-D78F0BCDF6D8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I57:N67</xm:sqref>
        </x14:conditionalFormatting>
        <x14:conditionalFormatting xmlns:xm="http://schemas.microsoft.com/office/excel/2006/main">
          <x14:cfRule type="dataBar" id="{E5EED065-8D9E-41CE-8CEA-38B598B270B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I57:N73</xm:sqref>
        </x14:conditionalFormatting>
        <x14:conditionalFormatting xmlns:xm="http://schemas.microsoft.com/office/excel/2006/main">
          <x14:cfRule type="dataBar" id="{53D80AAE-3F69-4561-9B0A-25922A5B22E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I57:N79</xm:sqref>
        </x14:conditionalFormatting>
        <x14:conditionalFormatting xmlns:xm="http://schemas.microsoft.com/office/excel/2006/main">
          <x14:cfRule type="dataBar" id="{B8BE33D0-0FC7-4A0D-84BC-0F950ED39F8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I57:N61</xm:sqref>
        </x14:conditionalFormatting>
        <x14:conditionalFormatting xmlns:xm="http://schemas.microsoft.com/office/excel/2006/main">
          <x14:cfRule type="dataBar" id="{B44130BA-2224-44DD-A3A2-E58C4020378D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I57:N67</xm:sqref>
        </x14:conditionalFormatting>
        <x14:conditionalFormatting xmlns:xm="http://schemas.microsoft.com/office/excel/2006/main">
          <x14:cfRule type="dataBar" id="{23B81B33-976B-4F2D-A22E-4AC0440360B0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I57:N73</xm:sqref>
        </x14:conditionalFormatting>
        <x14:conditionalFormatting xmlns:xm="http://schemas.microsoft.com/office/excel/2006/main">
          <x14:cfRule type="dataBar" id="{A9A8ABB9-73C1-4F8A-AA89-B29549CF2F01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5117038483843"/>
              <x14:axisColor rgb="FF000000"/>
            </x14:dataBar>
          </x14:cfRule>
          <xm:sqref>I57:N79</xm:sqref>
        </x14:conditionalFormatting>
        <x14:conditionalFormatting xmlns:xm="http://schemas.microsoft.com/office/excel/2006/main">
          <x14:cfRule type="dataBar" id="{FBBC271A-C166-4DF0-A997-995D6F4850E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B38:F41</xm:sqref>
        </x14:conditionalFormatting>
        <x14:conditionalFormatting xmlns:xm="http://schemas.microsoft.com/office/excel/2006/main">
          <x14:cfRule type="dataBar" id="{7A0D001C-B8B9-4580-AC0C-7516E6D63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B38:F41</xm:sqref>
        </x14:conditionalFormatting>
        <x14:conditionalFormatting xmlns:xm="http://schemas.microsoft.com/office/excel/2006/main">
          <x14:cfRule type="dataBar" id="{B45A4505-B88C-480F-9126-E37D5EC62C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B74"/>
  <sheetViews>
    <sheetView workbookViewId="0">
      <selection activeCell="V38" sqref="V38"/>
    </sheetView>
  </sheetViews>
  <sheetFormatPr defaultRowHeight="13.5"/>
  <cols>
    <col min="1" max="1" width="19.375" style="10" customWidth="1"/>
    <col min="2" max="6" width="6.75" style="10" customWidth="1"/>
    <col min="7" max="7" width="8.125" style="10" customWidth="1"/>
    <col min="8" max="8" width="3.875" style="10" customWidth="1"/>
    <col min="9" max="9" width="7.375" style="218" bestFit="1" customWidth="1"/>
    <col min="10" max="11" width="5.75" style="218" bestFit="1" customWidth="1"/>
    <col min="12" max="12" width="5.375" style="218" bestFit="1" customWidth="1"/>
    <col min="13" max="13" width="5.75" style="218" bestFit="1" customWidth="1"/>
    <col min="14" max="14" width="5.375" style="218" bestFit="1" customWidth="1"/>
    <col min="15" max="15" width="4.5" style="330" customWidth="1"/>
    <col min="16" max="16" width="8.625" style="218" bestFit="1" customWidth="1"/>
    <col min="17" max="18" width="5.75" style="218" bestFit="1" customWidth="1"/>
    <col min="19" max="19" width="4.875" style="218" bestFit="1" customWidth="1"/>
    <col min="20" max="20" width="5.75" style="218" bestFit="1" customWidth="1"/>
    <col min="21" max="21" width="4.875" style="218" bestFit="1" customWidth="1"/>
    <col min="22" max="22" width="9" style="218"/>
    <col min="23" max="23" width="6.375" style="10" bestFit="1" customWidth="1"/>
    <col min="24" max="28" width="5.5" style="10" bestFit="1" customWidth="1"/>
    <col min="29" max="16384" width="9" style="10"/>
  </cols>
  <sheetData>
    <row r="1" spans="1:28" ht="15">
      <c r="A1" s="82" t="s">
        <v>565</v>
      </c>
      <c r="B1" s="29" t="s">
        <v>566</v>
      </c>
      <c r="C1" s="29"/>
      <c r="D1" s="29"/>
      <c r="E1" s="29"/>
      <c r="F1" s="29"/>
      <c r="G1" s="29"/>
    </row>
    <row r="2" spans="1:28" ht="15">
      <c r="A2" s="85"/>
      <c r="B2" s="29"/>
      <c r="C2" s="29"/>
      <c r="D2" s="29"/>
      <c r="E2" s="29"/>
      <c r="F2" s="29"/>
      <c r="G2" s="29"/>
    </row>
    <row r="3" spans="1:28" ht="15">
      <c r="A3" s="300" t="s">
        <v>596</v>
      </c>
      <c r="B3" s="172" t="s">
        <v>268</v>
      </c>
      <c r="C3" s="172" t="s">
        <v>269</v>
      </c>
      <c r="D3" s="172" t="s">
        <v>270</v>
      </c>
      <c r="E3" s="172" t="s">
        <v>271</v>
      </c>
      <c r="F3" s="173" t="s">
        <v>272</v>
      </c>
      <c r="G3" s="86" t="s">
        <v>321</v>
      </c>
      <c r="I3" s="84" t="s">
        <v>575</v>
      </c>
      <c r="J3" s="85" t="s">
        <v>268</v>
      </c>
      <c r="K3" s="85" t="s">
        <v>269</v>
      </c>
      <c r="L3" s="85" t="s">
        <v>270</v>
      </c>
      <c r="M3" s="85" t="s">
        <v>271</v>
      </c>
      <c r="N3" s="85" t="s">
        <v>272</v>
      </c>
    </row>
    <row r="4" spans="1:28" ht="15">
      <c r="A4" s="298" t="s">
        <v>206</v>
      </c>
      <c r="B4" s="301">
        <v>10</v>
      </c>
      <c r="C4" s="302">
        <v>19</v>
      </c>
      <c r="D4" s="302">
        <v>14</v>
      </c>
      <c r="E4" s="302">
        <v>7</v>
      </c>
      <c r="F4" s="303">
        <v>12</v>
      </c>
      <c r="G4" s="91">
        <f>SUM(B4:F4)</f>
        <v>62</v>
      </c>
      <c r="I4" s="87" t="s">
        <v>206</v>
      </c>
      <c r="J4" s="88">
        <f>$G4-B4</f>
        <v>52</v>
      </c>
      <c r="K4" s="89">
        <f t="shared" ref="K4:K7" si="0">$G4-C4</f>
        <v>43</v>
      </c>
      <c r="L4" s="89">
        <f t="shared" ref="L4:L7" si="1">$G4-D4</f>
        <v>48</v>
      </c>
      <c r="M4" s="89">
        <f t="shared" ref="M4:M7" si="2">$G4-E4</f>
        <v>55</v>
      </c>
      <c r="N4" s="89">
        <f t="shared" ref="N4:N7" si="3">$G4-F4</f>
        <v>50</v>
      </c>
    </row>
    <row r="5" spans="1:28" ht="15">
      <c r="A5" s="298" t="s">
        <v>207</v>
      </c>
      <c r="B5" s="304">
        <v>11</v>
      </c>
      <c r="C5" s="305">
        <v>7</v>
      </c>
      <c r="D5" s="305">
        <v>10</v>
      </c>
      <c r="E5" s="305">
        <v>0</v>
      </c>
      <c r="F5" s="306">
        <v>1</v>
      </c>
      <c r="G5" s="91">
        <f t="shared" ref="G5:G7" si="4">SUM(B5:F5)</f>
        <v>29</v>
      </c>
      <c r="I5" s="87" t="s">
        <v>207</v>
      </c>
      <c r="J5" s="92">
        <f t="shared" ref="J5:J7" si="5">$G5-B5</f>
        <v>18</v>
      </c>
      <c r="K5" s="93">
        <f t="shared" si="0"/>
        <v>22</v>
      </c>
      <c r="L5" s="93">
        <f t="shared" si="1"/>
        <v>19</v>
      </c>
      <c r="M5" s="93">
        <f t="shared" si="2"/>
        <v>29</v>
      </c>
      <c r="N5" s="93">
        <f t="shared" si="3"/>
        <v>28</v>
      </c>
    </row>
    <row r="6" spans="1:28" ht="15">
      <c r="A6" s="298" t="s">
        <v>208</v>
      </c>
      <c r="B6" s="304">
        <v>0</v>
      </c>
      <c r="C6" s="305">
        <v>0</v>
      </c>
      <c r="D6" s="305">
        <v>1</v>
      </c>
      <c r="E6" s="305">
        <v>12</v>
      </c>
      <c r="F6" s="306">
        <v>1</v>
      </c>
      <c r="G6" s="91">
        <f t="shared" si="4"/>
        <v>14</v>
      </c>
      <c r="I6" s="87" t="s">
        <v>208</v>
      </c>
      <c r="J6" s="92">
        <f t="shared" si="5"/>
        <v>14</v>
      </c>
      <c r="K6" s="93">
        <f t="shared" si="0"/>
        <v>14</v>
      </c>
      <c r="L6" s="93">
        <f t="shared" si="1"/>
        <v>13</v>
      </c>
      <c r="M6" s="93">
        <f t="shared" si="2"/>
        <v>2</v>
      </c>
      <c r="N6" s="93">
        <f t="shared" si="3"/>
        <v>13</v>
      </c>
    </row>
    <row r="7" spans="1:28" ht="15">
      <c r="A7" s="299" t="s">
        <v>209</v>
      </c>
      <c r="B7" s="307">
        <v>0</v>
      </c>
      <c r="C7" s="308">
        <v>1</v>
      </c>
      <c r="D7" s="308">
        <v>2</v>
      </c>
      <c r="E7" s="308">
        <v>3</v>
      </c>
      <c r="F7" s="309">
        <v>3</v>
      </c>
      <c r="G7" s="91">
        <f t="shared" si="4"/>
        <v>9</v>
      </c>
      <c r="I7" s="87" t="s">
        <v>209</v>
      </c>
      <c r="J7" s="95">
        <f t="shared" si="5"/>
        <v>9</v>
      </c>
      <c r="K7" s="96">
        <f t="shared" si="0"/>
        <v>8</v>
      </c>
      <c r="L7" s="96">
        <f t="shared" si="1"/>
        <v>7</v>
      </c>
      <c r="M7" s="96">
        <f t="shared" si="2"/>
        <v>6</v>
      </c>
      <c r="N7" s="96">
        <f t="shared" si="3"/>
        <v>6</v>
      </c>
    </row>
    <row r="8" spans="1:28" ht="15">
      <c r="A8" s="86" t="s">
        <v>320</v>
      </c>
      <c r="B8" s="30">
        <f>SUM(B4:B7)</f>
        <v>21</v>
      </c>
      <c r="C8" s="30">
        <f t="shared" ref="C8:F8" si="6">SUM(C4:C7)</f>
        <v>27</v>
      </c>
      <c r="D8" s="30">
        <f t="shared" si="6"/>
        <v>27</v>
      </c>
      <c r="E8" s="30">
        <f t="shared" si="6"/>
        <v>22</v>
      </c>
      <c r="F8" s="30">
        <f t="shared" si="6"/>
        <v>17</v>
      </c>
      <c r="G8" s="98">
        <f>SUM(B4:F7)</f>
        <v>114</v>
      </c>
    </row>
    <row r="10" spans="1:28" ht="15">
      <c r="A10" s="300" t="s">
        <v>576</v>
      </c>
      <c r="B10" s="172" t="s">
        <v>268</v>
      </c>
      <c r="C10" s="172" t="s">
        <v>269</v>
      </c>
      <c r="D10" s="172" t="s">
        <v>270</v>
      </c>
      <c r="E10" s="172" t="s">
        <v>271</v>
      </c>
      <c r="F10" s="173" t="s">
        <v>272</v>
      </c>
      <c r="I10" s="300" t="s">
        <v>577</v>
      </c>
      <c r="J10" s="172" t="s">
        <v>268</v>
      </c>
      <c r="K10" s="172" t="s">
        <v>269</v>
      </c>
      <c r="L10" s="172" t="s">
        <v>270</v>
      </c>
      <c r="M10" s="172" t="s">
        <v>271</v>
      </c>
      <c r="N10" s="173" t="s">
        <v>272</v>
      </c>
    </row>
    <row r="11" spans="1:28" ht="15">
      <c r="A11" s="298" t="s">
        <v>206</v>
      </c>
      <c r="B11" s="301">
        <f>B$8-B4</f>
        <v>11</v>
      </c>
      <c r="C11" s="302">
        <f t="shared" ref="C11:F11" si="7">C$8-C4</f>
        <v>8</v>
      </c>
      <c r="D11" s="302">
        <f t="shared" si="7"/>
        <v>13</v>
      </c>
      <c r="E11" s="302">
        <f t="shared" si="7"/>
        <v>15</v>
      </c>
      <c r="F11" s="303">
        <f t="shared" si="7"/>
        <v>5</v>
      </c>
      <c r="I11" s="298" t="s">
        <v>206</v>
      </c>
      <c r="J11" s="301">
        <f t="shared" ref="J11:N14" si="8">$G$8-B4-J4-B11</f>
        <v>41</v>
      </c>
      <c r="K11" s="302">
        <f t="shared" si="8"/>
        <v>44</v>
      </c>
      <c r="L11" s="302">
        <f t="shared" si="8"/>
        <v>39</v>
      </c>
      <c r="M11" s="302">
        <f t="shared" si="8"/>
        <v>37</v>
      </c>
      <c r="N11" s="303">
        <f t="shared" si="8"/>
        <v>47</v>
      </c>
    </row>
    <row r="12" spans="1:28" ht="15">
      <c r="A12" s="298" t="s">
        <v>207</v>
      </c>
      <c r="B12" s="304">
        <f t="shared" ref="B12:F12" si="9">B$8-B5</f>
        <v>10</v>
      </c>
      <c r="C12" s="305">
        <f t="shared" si="9"/>
        <v>20</v>
      </c>
      <c r="D12" s="305">
        <f t="shared" si="9"/>
        <v>17</v>
      </c>
      <c r="E12" s="305">
        <f t="shared" si="9"/>
        <v>22</v>
      </c>
      <c r="F12" s="306">
        <f t="shared" si="9"/>
        <v>16</v>
      </c>
      <c r="I12" s="298" t="s">
        <v>207</v>
      </c>
      <c r="J12" s="304">
        <f t="shared" si="8"/>
        <v>75</v>
      </c>
      <c r="K12" s="305">
        <f t="shared" si="8"/>
        <v>65</v>
      </c>
      <c r="L12" s="305">
        <f t="shared" si="8"/>
        <v>68</v>
      </c>
      <c r="M12" s="305">
        <f t="shared" si="8"/>
        <v>63</v>
      </c>
      <c r="N12" s="306">
        <f t="shared" si="8"/>
        <v>69</v>
      </c>
    </row>
    <row r="13" spans="1:28" ht="15">
      <c r="A13" s="298" t="s">
        <v>208</v>
      </c>
      <c r="B13" s="304">
        <f t="shared" ref="B13:F13" si="10">B$8-B6</f>
        <v>21</v>
      </c>
      <c r="C13" s="305">
        <f t="shared" si="10"/>
        <v>27</v>
      </c>
      <c r="D13" s="305">
        <f t="shared" si="10"/>
        <v>26</v>
      </c>
      <c r="E13" s="305">
        <f t="shared" si="10"/>
        <v>10</v>
      </c>
      <c r="F13" s="306">
        <f t="shared" si="10"/>
        <v>16</v>
      </c>
      <c r="I13" s="298" t="s">
        <v>208</v>
      </c>
      <c r="J13" s="304">
        <f t="shared" si="8"/>
        <v>79</v>
      </c>
      <c r="K13" s="305">
        <f t="shared" si="8"/>
        <v>73</v>
      </c>
      <c r="L13" s="305">
        <f t="shared" si="8"/>
        <v>74</v>
      </c>
      <c r="M13" s="305">
        <f t="shared" si="8"/>
        <v>90</v>
      </c>
      <c r="N13" s="306">
        <f t="shared" si="8"/>
        <v>84</v>
      </c>
    </row>
    <row r="14" spans="1:28" ht="15">
      <c r="A14" s="299" t="s">
        <v>209</v>
      </c>
      <c r="B14" s="307">
        <f t="shared" ref="B14:F14" si="11">B$8-B7</f>
        <v>21</v>
      </c>
      <c r="C14" s="308">
        <f t="shared" si="11"/>
        <v>26</v>
      </c>
      <c r="D14" s="308">
        <f t="shared" si="11"/>
        <v>25</v>
      </c>
      <c r="E14" s="308">
        <f t="shared" si="11"/>
        <v>19</v>
      </c>
      <c r="F14" s="309">
        <f t="shared" si="11"/>
        <v>14</v>
      </c>
      <c r="I14" s="299" t="s">
        <v>209</v>
      </c>
      <c r="J14" s="307">
        <f t="shared" si="8"/>
        <v>84</v>
      </c>
      <c r="K14" s="308">
        <f t="shared" si="8"/>
        <v>79</v>
      </c>
      <c r="L14" s="308">
        <f t="shared" si="8"/>
        <v>80</v>
      </c>
      <c r="M14" s="308">
        <f t="shared" si="8"/>
        <v>86</v>
      </c>
      <c r="N14" s="309">
        <f t="shared" si="8"/>
        <v>91</v>
      </c>
    </row>
    <row r="16" spans="1:28" ht="17.25" customHeight="1">
      <c r="A16" s="300" t="s">
        <v>597</v>
      </c>
      <c r="B16" s="172" t="s">
        <v>268</v>
      </c>
      <c r="C16" s="172" t="s">
        <v>269</v>
      </c>
      <c r="D16" s="172" t="s">
        <v>270</v>
      </c>
      <c r="E16" s="172" t="s">
        <v>271</v>
      </c>
      <c r="F16" s="173" t="s">
        <v>272</v>
      </c>
      <c r="I16" s="171" t="s">
        <v>583</v>
      </c>
      <c r="J16" s="172" t="s">
        <v>268</v>
      </c>
      <c r="K16" s="172" t="s">
        <v>269</v>
      </c>
      <c r="L16" s="172" t="s">
        <v>270</v>
      </c>
      <c r="M16" s="172" t="s">
        <v>271</v>
      </c>
      <c r="N16" s="173" t="s">
        <v>272</v>
      </c>
      <c r="O16" s="329"/>
      <c r="P16" s="171" t="s">
        <v>591</v>
      </c>
      <c r="Q16" s="294" t="s">
        <v>268</v>
      </c>
      <c r="R16" s="294" t="s">
        <v>269</v>
      </c>
      <c r="S16" s="294" t="s">
        <v>270</v>
      </c>
      <c r="T16" s="294" t="s">
        <v>271</v>
      </c>
      <c r="U16" s="295" t="s">
        <v>272</v>
      </c>
      <c r="W16" s="171" t="s">
        <v>583</v>
      </c>
      <c r="X16" s="172" t="s">
        <v>268</v>
      </c>
      <c r="Y16" s="172" t="s">
        <v>269</v>
      </c>
      <c r="Z16" s="172" t="s">
        <v>270</v>
      </c>
      <c r="AA16" s="172" t="s">
        <v>271</v>
      </c>
      <c r="AB16" s="173" t="s">
        <v>272</v>
      </c>
    </row>
    <row r="17" spans="1:28" ht="15">
      <c r="A17" s="298" t="s">
        <v>206</v>
      </c>
      <c r="B17" s="320">
        <f>((B4+J11)-(J4+B11))/((B4+J11)+(J4+B11))</f>
        <v>-0.10526315789473684</v>
      </c>
      <c r="C17" s="321">
        <f t="shared" ref="C17:F17" si="12">(C4+K11)/(C4+K4+C11+K11)</f>
        <v>0.55263157894736847</v>
      </c>
      <c r="D17" s="321">
        <f t="shared" si="12"/>
        <v>0.46491228070175439</v>
      </c>
      <c r="E17" s="321">
        <f t="shared" si="12"/>
        <v>0.38596491228070173</v>
      </c>
      <c r="F17" s="322">
        <f t="shared" si="12"/>
        <v>0.51754385964912286</v>
      </c>
      <c r="I17" s="174" t="s">
        <v>206</v>
      </c>
      <c r="J17" s="235">
        <v>0.44736842105263158</v>
      </c>
      <c r="K17" s="236">
        <v>0.55263157894736847</v>
      </c>
      <c r="L17" s="236">
        <v>0.46491228070175439</v>
      </c>
      <c r="M17" s="236">
        <v>0.38596491228070173</v>
      </c>
      <c r="N17" s="237">
        <v>0.51754385964912286</v>
      </c>
      <c r="O17" s="334"/>
      <c r="P17" s="296" t="s">
        <v>206</v>
      </c>
      <c r="Q17" s="338">
        <v>0.65760869565217395</v>
      </c>
      <c r="R17" s="332">
        <v>0.79352226720647778</v>
      </c>
      <c r="S17" s="332">
        <v>0.71226415094339623</v>
      </c>
      <c r="T17" s="332">
        <v>0.57055214723926384</v>
      </c>
      <c r="U17" s="333">
        <v>0.72222222222222221</v>
      </c>
      <c r="W17" s="174" t="s">
        <v>206</v>
      </c>
      <c r="X17" s="363">
        <v>0.44736842105263158</v>
      </c>
      <c r="Y17" s="364">
        <v>0.55263157894736847</v>
      </c>
      <c r="Z17" s="364">
        <v>0.46491228070175439</v>
      </c>
      <c r="AA17" s="364">
        <v>0.38596491228070173</v>
      </c>
      <c r="AB17" s="365">
        <v>0.51754385964912286</v>
      </c>
    </row>
    <row r="18" spans="1:28" ht="15">
      <c r="A18" s="298" t="s">
        <v>207</v>
      </c>
      <c r="B18" s="323">
        <f t="shared" ref="B18:F18" si="13">(B5+J12)/(B5+J5+B12+J12)</f>
        <v>0.75438596491228072</v>
      </c>
      <c r="C18" s="324">
        <f t="shared" si="13"/>
        <v>0.63157894736842102</v>
      </c>
      <c r="D18" s="324">
        <f t="shared" si="13"/>
        <v>0.68421052631578949</v>
      </c>
      <c r="E18" s="324">
        <f t="shared" si="13"/>
        <v>0.55263157894736847</v>
      </c>
      <c r="F18" s="325">
        <f t="shared" si="13"/>
        <v>0.61403508771929827</v>
      </c>
      <c r="I18" s="174" t="s">
        <v>207</v>
      </c>
      <c r="J18" s="238">
        <v>0.75438596491228072</v>
      </c>
      <c r="K18" s="239">
        <v>0.63157894736842102</v>
      </c>
      <c r="L18" s="239">
        <v>0.68421052631578949</v>
      </c>
      <c r="M18" s="239">
        <v>0.55263157894736847</v>
      </c>
      <c r="N18" s="240">
        <v>0.61403508771929827</v>
      </c>
      <c r="O18" s="334"/>
      <c r="P18" s="296" t="s">
        <v>207</v>
      </c>
      <c r="Q18" s="339">
        <v>0.8534031413612565</v>
      </c>
      <c r="R18" s="334">
        <v>0.74233128834355833</v>
      </c>
      <c r="S18" s="334">
        <v>0.80434782608695654</v>
      </c>
      <c r="T18" s="334">
        <v>0.55263157894736847</v>
      </c>
      <c r="U18" s="335">
        <v>0.63636363636363635</v>
      </c>
      <c r="W18" s="174" t="s">
        <v>207</v>
      </c>
      <c r="X18" s="366">
        <v>0.75438596491228072</v>
      </c>
      <c r="Y18" s="367">
        <v>0.63157894736842102</v>
      </c>
      <c r="Z18" s="367">
        <v>0.68421052631578949</v>
      </c>
      <c r="AA18" s="367">
        <v>0.55263157894736847</v>
      </c>
      <c r="AB18" s="368">
        <v>0.61403508771929827</v>
      </c>
    </row>
    <row r="19" spans="1:28" ht="15">
      <c r="A19" s="298" t="s">
        <v>208</v>
      </c>
      <c r="B19" s="323">
        <f t="shared" ref="B19:F19" si="14">(B6+J13)/(B6+J6+B13+J13)</f>
        <v>0.69298245614035092</v>
      </c>
      <c r="C19" s="324">
        <f t="shared" si="14"/>
        <v>0.64035087719298245</v>
      </c>
      <c r="D19" s="324">
        <f t="shared" si="14"/>
        <v>0.65789473684210531</v>
      </c>
      <c r="E19" s="324">
        <f t="shared" si="14"/>
        <v>0.89473684210526316</v>
      </c>
      <c r="F19" s="325">
        <f t="shared" si="14"/>
        <v>0.74561403508771928</v>
      </c>
      <c r="I19" s="174" t="s">
        <v>208</v>
      </c>
      <c r="J19" s="238">
        <v>0.69298245614035092</v>
      </c>
      <c r="K19" s="239">
        <v>0.64035087719298245</v>
      </c>
      <c r="L19" s="239">
        <v>0.65789473684210531</v>
      </c>
      <c r="M19" s="239">
        <v>0.89473684210526316</v>
      </c>
      <c r="N19" s="240">
        <v>0.74561403508771928</v>
      </c>
      <c r="O19" s="334"/>
      <c r="P19" s="296" t="s">
        <v>208</v>
      </c>
      <c r="Q19" s="339">
        <v>0.69298245614035092</v>
      </c>
      <c r="R19" s="334">
        <v>0.64035087719298245</v>
      </c>
      <c r="S19" s="334">
        <v>0.6776859504132231</v>
      </c>
      <c r="T19" s="334">
        <v>0.93939393939393945</v>
      </c>
      <c r="U19" s="335">
        <v>0.76033057851239672</v>
      </c>
      <c r="W19" s="174" t="s">
        <v>208</v>
      </c>
      <c r="X19" s="366">
        <v>0.69298245614035092</v>
      </c>
      <c r="Y19" s="367">
        <v>0.64035087719298245</v>
      </c>
      <c r="Z19" s="367">
        <v>0.65789473684210531</v>
      </c>
      <c r="AA19" s="367">
        <v>0.89473684210526316</v>
      </c>
      <c r="AB19" s="368">
        <v>0.74561403508771928</v>
      </c>
    </row>
    <row r="20" spans="1:28" ht="15">
      <c r="A20" s="299" t="s">
        <v>209</v>
      </c>
      <c r="B20" s="326">
        <f t="shared" ref="B20:F20" si="15">(B7+J14)/(B7+J7+B14+J14)</f>
        <v>0.73684210526315785</v>
      </c>
      <c r="C20" s="327">
        <f t="shared" si="15"/>
        <v>0.70175438596491224</v>
      </c>
      <c r="D20" s="327">
        <f t="shared" si="15"/>
        <v>0.7192982456140351</v>
      </c>
      <c r="E20" s="327">
        <f t="shared" si="15"/>
        <v>0.7807017543859649</v>
      </c>
      <c r="F20" s="328">
        <f t="shared" si="15"/>
        <v>0.82456140350877194</v>
      </c>
      <c r="I20" s="175" t="s">
        <v>209</v>
      </c>
      <c r="J20" s="242">
        <v>0.73684210526315785</v>
      </c>
      <c r="K20" s="243">
        <v>0.70175438596491224</v>
      </c>
      <c r="L20" s="243">
        <v>0.7192982456140351</v>
      </c>
      <c r="M20" s="243">
        <v>0.7807017543859649</v>
      </c>
      <c r="N20" s="244">
        <v>0.82456140350877194</v>
      </c>
      <c r="O20" s="334"/>
      <c r="P20" s="297" t="s">
        <v>209</v>
      </c>
      <c r="Q20" s="340">
        <v>0.73684210526315785</v>
      </c>
      <c r="R20" s="336">
        <v>0.71900826446280997</v>
      </c>
      <c r="S20" s="336">
        <v>0.75</v>
      </c>
      <c r="T20" s="336">
        <v>0.81481481481481477</v>
      </c>
      <c r="U20" s="337">
        <v>0.85185185185185186</v>
      </c>
      <c r="W20" s="175" t="s">
        <v>209</v>
      </c>
      <c r="X20" s="369">
        <v>0.73684210526315785</v>
      </c>
      <c r="Y20" s="370">
        <v>0.70175438596491224</v>
      </c>
      <c r="Z20" s="370">
        <v>0.7192982456140351</v>
      </c>
      <c r="AA20" s="370">
        <v>0.7807017543859649</v>
      </c>
      <c r="AB20" s="371">
        <v>0.82456140350877194</v>
      </c>
    </row>
    <row r="22" spans="1:28" ht="15">
      <c r="A22" s="300" t="s">
        <v>598</v>
      </c>
      <c r="B22" s="172" t="s">
        <v>268</v>
      </c>
      <c r="C22" s="172" t="s">
        <v>269</v>
      </c>
      <c r="D22" s="172" t="s">
        <v>270</v>
      </c>
      <c r="E22" s="172" t="s">
        <v>271</v>
      </c>
      <c r="F22" s="173" t="s">
        <v>272</v>
      </c>
      <c r="I22" s="171" t="s">
        <v>584</v>
      </c>
      <c r="J22" s="172" t="s">
        <v>268</v>
      </c>
      <c r="K22" s="172" t="s">
        <v>269</v>
      </c>
      <c r="L22" s="172" t="s">
        <v>270</v>
      </c>
      <c r="M22" s="172" t="s">
        <v>271</v>
      </c>
      <c r="N22" s="173" t="s">
        <v>272</v>
      </c>
      <c r="P22" s="171" t="s">
        <v>593</v>
      </c>
      <c r="Q22" s="172" t="s">
        <v>268</v>
      </c>
      <c r="R22" s="172" t="s">
        <v>269</v>
      </c>
      <c r="S22" s="172" t="s">
        <v>270</v>
      </c>
      <c r="T22" s="172" t="s">
        <v>271</v>
      </c>
      <c r="U22" s="173" t="s">
        <v>272</v>
      </c>
      <c r="W22" s="171" t="s">
        <v>583</v>
      </c>
      <c r="X22" s="172" t="s">
        <v>268</v>
      </c>
      <c r="Y22" s="172" t="s">
        <v>269</v>
      </c>
      <c r="Z22" s="172" t="s">
        <v>270</v>
      </c>
      <c r="AA22" s="172" t="s">
        <v>271</v>
      </c>
      <c r="AB22" s="173" t="s">
        <v>272</v>
      </c>
    </row>
    <row r="23" spans="1:28" ht="15">
      <c r="A23" s="298" t="s">
        <v>206</v>
      </c>
      <c r="B23" s="320">
        <f>(B4)/(B4+J4+B11)</f>
        <v>0.13698630136986301</v>
      </c>
      <c r="C23" s="321">
        <f t="shared" ref="C23:F23" si="16">(C4)/(C4+K4+C11)</f>
        <v>0.27142857142857141</v>
      </c>
      <c r="D23" s="321">
        <f t="shared" si="16"/>
        <v>0.18666666666666668</v>
      </c>
      <c r="E23" s="321">
        <f t="shared" si="16"/>
        <v>9.0909090909090912E-2</v>
      </c>
      <c r="F23" s="322">
        <f t="shared" si="16"/>
        <v>0.17910447761194029</v>
      </c>
      <c r="I23" s="174" t="s">
        <v>206</v>
      </c>
      <c r="J23" s="235">
        <v>0.13698630136986301</v>
      </c>
      <c r="K23" s="236">
        <v>0.27142857142857141</v>
      </c>
      <c r="L23" s="236">
        <v>0.18666666666666668</v>
      </c>
      <c r="M23" s="236">
        <v>9.0909090909090912E-2</v>
      </c>
      <c r="N23" s="237">
        <v>0.17910447761194029</v>
      </c>
      <c r="P23" s="174" t="s">
        <v>206</v>
      </c>
      <c r="Q23" s="235">
        <v>0.55944055944055948</v>
      </c>
      <c r="R23" s="236">
        <v>0.74876847290640391</v>
      </c>
      <c r="S23" s="236">
        <v>0.64739884393063585</v>
      </c>
      <c r="T23" s="236">
        <v>0.44444444444444442</v>
      </c>
      <c r="U23" s="237">
        <v>0.63576158940397354</v>
      </c>
      <c r="W23" s="174" t="s">
        <v>206</v>
      </c>
      <c r="X23" s="363">
        <v>0.44736842105263158</v>
      </c>
      <c r="Y23" s="364">
        <v>0.55263157894736847</v>
      </c>
      <c r="Z23" s="364">
        <v>0.46491228070175439</v>
      </c>
      <c r="AA23" s="364">
        <v>0.38596491228070173</v>
      </c>
      <c r="AB23" s="365">
        <v>0.51754385964912286</v>
      </c>
    </row>
    <row r="24" spans="1:28" ht="15">
      <c r="A24" s="298" t="s">
        <v>207</v>
      </c>
      <c r="B24" s="323">
        <f t="shared" ref="B24:F24" si="17">(B5)/(B5+J5+B12)</f>
        <v>0.28205128205128205</v>
      </c>
      <c r="C24" s="324">
        <f t="shared" si="17"/>
        <v>0.14285714285714285</v>
      </c>
      <c r="D24" s="324">
        <f t="shared" si="17"/>
        <v>0.21739130434782608</v>
      </c>
      <c r="E24" s="324">
        <f t="shared" si="17"/>
        <v>0</v>
      </c>
      <c r="F24" s="325">
        <f t="shared" si="17"/>
        <v>2.2222222222222223E-2</v>
      </c>
      <c r="I24" s="174" t="s">
        <v>207</v>
      </c>
      <c r="J24" s="238">
        <v>0.28205128205128205</v>
      </c>
      <c r="K24" s="239">
        <v>0.14285714285714285</v>
      </c>
      <c r="L24" s="239">
        <v>0.21739130434782608</v>
      </c>
      <c r="M24" s="239">
        <v>0</v>
      </c>
      <c r="N24" s="240">
        <v>2.2222222222222223E-2</v>
      </c>
      <c r="P24" s="174" t="s">
        <v>207</v>
      </c>
      <c r="Q24" s="238">
        <v>0.75862068965517238</v>
      </c>
      <c r="R24" s="239">
        <v>0.5714285714285714</v>
      </c>
      <c r="S24" s="239">
        <v>0.68965517241379315</v>
      </c>
      <c r="T24" s="239">
        <v>0</v>
      </c>
      <c r="U24" s="240">
        <v>0.15384615384615385</v>
      </c>
      <c r="W24" s="174" t="s">
        <v>207</v>
      </c>
      <c r="X24" s="366">
        <v>0.75438596491228072</v>
      </c>
      <c r="Y24" s="367">
        <v>0.63157894736842102</v>
      </c>
      <c r="Z24" s="367">
        <v>0.68421052631578949</v>
      </c>
      <c r="AA24" s="367">
        <v>0.55263157894736847</v>
      </c>
      <c r="AB24" s="368">
        <v>0.61403508771929827</v>
      </c>
    </row>
    <row r="25" spans="1:28" ht="15">
      <c r="A25" s="298" t="s">
        <v>208</v>
      </c>
      <c r="B25" s="323">
        <f t="shared" ref="B25:F25" si="18">(B6)/(B6+J6+B13)</f>
        <v>0</v>
      </c>
      <c r="C25" s="324">
        <f t="shared" si="18"/>
        <v>0</v>
      </c>
      <c r="D25" s="324">
        <f t="shared" si="18"/>
        <v>2.5000000000000001E-2</v>
      </c>
      <c r="E25" s="324">
        <f t="shared" si="18"/>
        <v>0.5</v>
      </c>
      <c r="F25" s="325">
        <f t="shared" si="18"/>
        <v>3.3333333333333333E-2</v>
      </c>
      <c r="I25" s="174" t="s">
        <v>208</v>
      </c>
      <c r="J25" s="238">
        <v>0</v>
      </c>
      <c r="K25" s="239">
        <v>0</v>
      </c>
      <c r="L25" s="239">
        <v>2.5000000000000001E-2</v>
      </c>
      <c r="M25" s="239">
        <v>0.5</v>
      </c>
      <c r="N25" s="240">
        <v>3.3333333333333333E-2</v>
      </c>
      <c r="P25" s="174" t="s">
        <v>208</v>
      </c>
      <c r="Q25" s="238">
        <v>0</v>
      </c>
      <c r="R25" s="239">
        <v>0</v>
      </c>
      <c r="S25" s="239">
        <v>0.1702127659574468</v>
      </c>
      <c r="T25" s="239">
        <v>0.88888888888888884</v>
      </c>
      <c r="U25" s="240">
        <v>0.21621621621621623</v>
      </c>
      <c r="W25" s="174" t="s">
        <v>208</v>
      </c>
      <c r="X25" s="366">
        <v>0.69298245614035092</v>
      </c>
      <c r="Y25" s="367">
        <v>0.64035087719298245</v>
      </c>
      <c r="Z25" s="367">
        <v>0.65789473684210531</v>
      </c>
      <c r="AA25" s="367">
        <v>0.89473684210526316</v>
      </c>
      <c r="AB25" s="368">
        <v>0.74561403508771928</v>
      </c>
    </row>
    <row r="26" spans="1:28" ht="15">
      <c r="A26" s="299" t="s">
        <v>209</v>
      </c>
      <c r="B26" s="326">
        <f t="shared" ref="B26:F26" si="19">(B7)/(B7+J7+B14)</f>
        <v>0</v>
      </c>
      <c r="C26" s="327">
        <f t="shared" si="19"/>
        <v>2.8571428571428571E-2</v>
      </c>
      <c r="D26" s="327">
        <f t="shared" si="19"/>
        <v>5.8823529411764705E-2</v>
      </c>
      <c r="E26" s="327">
        <f t="shared" si="19"/>
        <v>0.10714285714285714</v>
      </c>
      <c r="F26" s="328">
        <f t="shared" si="19"/>
        <v>0.13043478260869565</v>
      </c>
      <c r="I26" s="175" t="s">
        <v>209</v>
      </c>
      <c r="J26" s="242">
        <v>0</v>
      </c>
      <c r="K26" s="243">
        <v>2.8571428571428571E-2</v>
      </c>
      <c r="L26" s="243">
        <v>5.8823529411764705E-2</v>
      </c>
      <c r="M26" s="243">
        <v>0.10714285714285714</v>
      </c>
      <c r="N26" s="244">
        <v>0.13043478260869565</v>
      </c>
      <c r="P26" s="175" t="s">
        <v>209</v>
      </c>
      <c r="Q26" s="242">
        <v>0</v>
      </c>
      <c r="R26" s="243">
        <v>0.19047619047619047</v>
      </c>
      <c r="S26" s="243">
        <v>0.33333333333333331</v>
      </c>
      <c r="T26" s="243">
        <v>0.48979591836734693</v>
      </c>
      <c r="U26" s="244">
        <v>0.54545454545454541</v>
      </c>
      <c r="W26" s="175" t="s">
        <v>209</v>
      </c>
      <c r="X26" s="369">
        <v>0.73684210526315785</v>
      </c>
      <c r="Y26" s="370">
        <v>0.70175438596491224</v>
      </c>
      <c r="Z26" s="370">
        <v>0.7192982456140351</v>
      </c>
      <c r="AA26" s="370">
        <v>0.7807017543859649</v>
      </c>
      <c r="AB26" s="371">
        <v>0.82456140350877194</v>
      </c>
    </row>
    <row r="28" spans="1:28" ht="15">
      <c r="A28" s="300" t="s">
        <v>599</v>
      </c>
      <c r="B28" s="172" t="s">
        <v>268</v>
      </c>
      <c r="C28" s="172" t="s">
        <v>269</v>
      </c>
      <c r="D28" s="172" t="s">
        <v>270</v>
      </c>
      <c r="E28" s="172" t="s">
        <v>271</v>
      </c>
      <c r="F28" s="173" t="s">
        <v>272</v>
      </c>
      <c r="I28" s="171" t="s">
        <v>585</v>
      </c>
      <c r="J28" s="172" t="s">
        <v>268</v>
      </c>
      <c r="K28" s="172" t="s">
        <v>269</v>
      </c>
      <c r="L28" s="172" t="s">
        <v>270</v>
      </c>
      <c r="M28" s="172" t="s">
        <v>271</v>
      </c>
      <c r="N28" s="173" t="s">
        <v>272</v>
      </c>
      <c r="P28" s="171" t="s">
        <v>594</v>
      </c>
      <c r="Q28" s="294" t="s">
        <v>268</v>
      </c>
      <c r="R28" s="294" t="s">
        <v>269</v>
      </c>
      <c r="S28" s="294" t="s">
        <v>270</v>
      </c>
      <c r="T28" s="294" t="s">
        <v>271</v>
      </c>
      <c r="U28" s="295" t="s">
        <v>272</v>
      </c>
    </row>
    <row r="29" spans="1:28" ht="15">
      <c r="A29" s="298" t="s">
        <v>206</v>
      </c>
      <c r="B29" s="320">
        <f>(B4*2)/(B4*2+J4+B11)</f>
        <v>0.24096385542168675</v>
      </c>
      <c r="C29" s="321">
        <f t="shared" ref="C29:F29" si="20">(C4*2)/(C4*2+K4+C11)</f>
        <v>0.42696629213483145</v>
      </c>
      <c r="D29" s="321">
        <f t="shared" si="20"/>
        <v>0.3146067415730337</v>
      </c>
      <c r="E29" s="321">
        <f t="shared" si="20"/>
        <v>0.16666666666666666</v>
      </c>
      <c r="F29" s="322">
        <f t="shared" si="20"/>
        <v>0.30379746835443039</v>
      </c>
      <c r="I29" s="174" t="s">
        <v>206</v>
      </c>
      <c r="J29" s="235">
        <v>0.24096385542168675</v>
      </c>
      <c r="K29" s="236">
        <v>0.42696629213483145</v>
      </c>
      <c r="L29" s="236">
        <v>0.3146067415730337</v>
      </c>
      <c r="M29" s="236">
        <v>0.16666666666666666</v>
      </c>
      <c r="N29" s="237">
        <v>0.30379746835443039</v>
      </c>
      <c r="P29" s="296" t="s">
        <v>206</v>
      </c>
      <c r="Q29" s="338">
        <v>0.71748878923766812</v>
      </c>
      <c r="R29" s="332">
        <v>0.85633802816901405</v>
      </c>
      <c r="S29" s="332">
        <v>0.78596491228070176</v>
      </c>
      <c r="T29" s="332">
        <v>0.61538461538461542</v>
      </c>
      <c r="U29" s="333">
        <v>0.77732793522267207</v>
      </c>
    </row>
    <row r="30" spans="1:28" ht="15">
      <c r="A30" s="298" t="s">
        <v>207</v>
      </c>
      <c r="B30" s="323">
        <f t="shared" ref="B30:F30" si="21">(B5*2)/(B5*2+J5+B12)</f>
        <v>0.44</v>
      </c>
      <c r="C30" s="324">
        <f t="shared" si="21"/>
        <v>0.25</v>
      </c>
      <c r="D30" s="324">
        <f t="shared" si="21"/>
        <v>0.35714285714285715</v>
      </c>
      <c r="E30" s="324">
        <f t="shared" si="21"/>
        <v>0</v>
      </c>
      <c r="F30" s="325">
        <f t="shared" si="21"/>
        <v>4.3478260869565216E-2</v>
      </c>
      <c r="I30" s="174" t="s">
        <v>207</v>
      </c>
      <c r="J30" s="238">
        <v>0.44</v>
      </c>
      <c r="K30" s="239">
        <v>0.25</v>
      </c>
      <c r="L30" s="239">
        <v>0.35714285714285715</v>
      </c>
      <c r="M30" s="239">
        <v>0</v>
      </c>
      <c r="N30" s="240">
        <v>4.3478260869565216E-2</v>
      </c>
      <c r="P30" s="296" t="s">
        <v>207</v>
      </c>
      <c r="Q30" s="339">
        <v>0.86274509803921573</v>
      </c>
      <c r="R30" s="334">
        <v>0.72727272727272729</v>
      </c>
      <c r="S30" s="334">
        <v>0.81632653061224492</v>
      </c>
      <c r="T30" s="334">
        <v>0</v>
      </c>
      <c r="U30" s="335">
        <v>0.26666666666666666</v>
      </c>
    </row>
    <row r="31" spans="1:28" ht="15">
      <c r="A31" s="298" t="s">
        <v>208</v>
      </c>
      <c r="B31" s="323">
        <f t="shared" ref="B31:F31" si="22">(B6*2)/(B6*2+J6+B13)</f>
        <v>0</v>
      </c>
      <c r="C31" s="324">
        <f t="shared" si="22"/>
        <v>0</v>
      </c>
      <c r="D31" s="324">
        <f t="shared" si="22"/>
        <v>4.878048780487805E-2</v>
      </c>
      <c r="E31" s="324">
        <f t="shared" si="22"/>
        <v>0.66666666666666663</v>
      </c>
      <c r="F31" s="325">
        <f t="shared" si="22"/>
        <v>6.4516129032258063E-2</v>
      </c>
      <c r="I31" s="174" t="s">
        <v>208</v>
      </c>
      <c r="J31" s="238">
        <v>0</v>
      </c>
      <c r="K31" s="239">
        <v>0</v>
      </c>
      <c r="L31" s="239">
        <v>4.878048780487805E-2</v>
      </c>
      <c r="M31" s="239">
        <v>0.66666666666666663</v>
      </c>
      <c r="N31" s="240">
        <v>6.4516129032258063E-2</v>
      </c>
      <c r="P31" s="296" t="s">
        <v>208</v>
      </c>
      <c r="Q31" s="339">
        <v>0</v>
      </c>
      <c r="R31" s="334">
        <v>0</v>
      </c>
      <c r="S31" s="334">
        <v>0.29090909090909089</v>
      </c>
      <c r="T31" s="334">
        <v>0.94117647058823528</v>
      </c>
      <c r="U31" s="335">
        <v>0.35555555555555557</v>
      </c>
    </row>
    <row r="32" spans="1:28" ht="15">
      <c r="A32" s="299" t="s">
        <v>209</v>
      </c>
      <c r="B32" s="326">
        <f t="shared" ref="B32:F32" si="23">(B7*2)/(B7*2+J7+B14)</f>
        <v>0</v>
      </c>
      <c r="C32" s="327">
        <f t="shared" si="23"/>
        <v>5.5555555555555552E-2</v>
      </c>
      <c r="D32" s="327">
        <f t="shared" si="23"/>
        <v>0.1111111111111111</v>
      </c>
      <c r="E32" s="327">
        <f t="shared" si="23"/>
        <v>0.19354838709677419</v>
      </c>
      <c r="F32" s="328">
        <f t="shared" si="23"/>
        <v>0.23076923076923078</v>
      </c>
      <c r="I32" s="175" t="s">
        <v>209</v>
      </c>
      <c r="J32" s="242">
        <v>0</v>
      </c>
      <c r="K32" s="243">
        <v>5.5555555555555552E-2</v>
      </c>
      <c r="L32" s="243">
        <v>0.1111111111111111</v>
      </c>
      <c r="M32" s="243">
        <v>0.19354838709677419</v>
      </c>
      <c r="N32" s="244">
        <v>0.23076923076923078</v>
      </c>
      <c r="P32" s="297" t="s">
        <v>209</v>
      </c>
      <c r="Q32" s="340">
        <v>0</v>
      </c>
      <c r="R32" s="336">
        <v>0.32</v>
      </c>
      <c r="S32" s="336">
        <v>0.5</v>
      </c>
      <c r="T32" s="336">
        <v>0.65753424657534243</v>
      </c>
      <c r="U32" s="337">
        <v>0.70588235294117652</v>
      </c>
    </row>
    <row r="34" spans="1:21" ht="15">
      <c r="A34" s="300" t="s">
        <v>600</v>
      </c>
      <c r="B34" s="172" t="s">
        <v>268</v>
      </c>
      <c r="C34" s="172" t="s">
        <v>269</v>
      </c>
      <c r="D34" s="172" t="s">
        <v>270</v>
      </c>
      <c r="E34" s="172" t="s">
        <v>271</v>
      </c>
      <c r="F34" s="173" t="s">
        <v>272</v>
      </c>
      <c r="I34" s="171" t="s">
        <v>586</v>
      </c>
      <c r="J34" s="172" t="s">
        <v>268</v>
      </c>
      <c r="K34" s="172" t="s">
        <v>269</v>
      </c>
      <c r="L34" s="172" t="s">
        <v>270</v>
      </c>
      <c r="M34" s="172" t="s">
        <v>271</v>
      </c>
      <c r="N34" s="173" t="s">
        <v>272</v>
      </c>
      <c r="P34" s="171" t="s">
        <v>595</v>
      </c>
      <c r="Q34" s="172" t="s">
        <v>268</v>
      </c>
      <c r="R34" s="172" t="s">
        <v>269</v>
      </c>
      <c r="S34" s="172" t="s">
        <v>270</v>
      </c>
      <c r="T34" s="172" t="s">
        <v>271</v>
      </c>
      <c r="U34" s="173" t="s">
        <v>272</v>
      </c>
    </row>
    <row r="35" spans="1:21" ht="15">
      <c r="A35" s="298" t="s">
        <v>206</v>
      </c>
      <c r="B35" s="320">
        <f>(B4)/(B4+J4+B11+J11)</f>
        <v>8.771929824561403E-2</v>
      </c>
      <c r="C35" s="321">
        <f t="shared" ref="C35:F35" si="24">(C4)/(C4+K4+C11+K11)</f>
        <v>0.16666666666666666</v>
      </c>
      <c r="D35" s="321">
        <f t="shared" si="24"/>
        <v>0.12280701754385964</v>
      </c>
      <c r="E35" s="321">
        <f t="shared" si="24"/>
        <v>6.1403508771929821E-2</v>
      </c>
      <c r="F35" s="322">
        <f t="shared" si="24"/>
        <v>0.10526315789473684</v>
      </c>
      <c r="I35" s="174" t="s">
        <v>206</v>
      </c>
      <c r="J35" s="235">
        <v>8.771929824561403E-2</v>
      </c>
      <c r="K35" s="236">
        <v>0.16666666666666666</v>
      </c>
      <c r="L35" s="236">
        <v>0.12280701754385964</v>
      </c>
      <c r="M35" s="236">
        <v>6.1403508771929821E-2</v>
      </c>
      <c r="N35" s="237">
        <v>0.10526315789473684</v>
      </c>
      <c r="P35" s="174" t="s">
        <v>206</v>
      </c>
      <c r="Q35" s="235">
        <v>0.69767441860465118</v>
      </c>
      <c r="R35" s="236">
        <v>0.82758620689655171</v>
      </c>
      <c r="S35" s="236">
        <v>0.77064220183486243</v>
      </c>
      <c r="T35" s="236">
        <v>0.61090909090909096</v>
      </c>
      <c r="U35" s="237">
        <v>0.7384615384615385</v>
      </c>
    </row>
    <row r="36" spans="1:21" ht="15">
      <c r="A36" s="298" t="s">
        <v>207</v>
      </c>
      <c r="B36" s="323">
        <f t="shared" ref="B36:F36" si="25">(B5)/(B5+J5+B12+J12)</f>
        <v>9.6491228070175433E-2</v>
      </c>
      <c r="C36" s="324">
        <f t="shared" si="25"/>
        <v>6.1403508771929821E-2</v>
      </c>
      <c r="D36" s="324">
        <f t="shared" si="25"/>
        <v>8.771929824561403E-2</v>
      </c>
      <c r="E36" s="324">
        <f t="shared" si="25"/>
        <v>0</v>
      </c>
      <c r="F36" s="325">
        <f t="shared" si="25"/>
        <v>8.771929824561403E-3</v>
      </c>
      <c r="I36" s="174" t="s">
        <v>207</v>
      </c>
      <c r="J36" s="238">
        <v>9.6491228070175433E-2</v>
      </c>
      <c r="K36" s="239">
        <v>6.1403508771929821E-2</v>
      </c>
      <c r="L36" s="239">
        <v>8.771929824561403E-2</v>
      </c>
      <c r="M36" s="239">
        <v>0</v>
      </c>
      <c r="N36" s="240">
        <v>8.771929824561403E-3</v>
      </c>
      <c r="P36" s="174" t="s">
        <v>207</v>
      </c>
      <c r="Q36" s="238">
        <v>0.71934604904632149</v>
      </c>
      <c r="R36" s="239">
        <v>0.61090909090909096</v>
      </c>
      <c r="S36" s="239">
        <v>0.69767441860465118</v>
      </c>
      <c r="T36" s="239">
        <v>0</v>
      </c>
      <c r="U36" s="240">
        <v>0.17518248175182483</v>
      </c>
    </row>
    <row r="37" spans="1:21" ht="15">
      <c r="A37" s="298" t="s">
        <v>208</v>
      </c>
      <c r="B37" s="323">
        <f t="shared" ref="B37:F37" si="26">(B6)/(B6+J6+B13+J13)</f>
        <v>0</v>
      </c>
      <c r="C37" s="324">
        <f t="shared" si="26"/>
        <v>0</v>
      </c>
      <c r="D37" s="324">
        <f t="shared" si="26"/>
        <v>8.771929824561403E-3</v>
      </c>
      <c r="E37" s="324">
        <f t="shared" si="26"/>
        <v>0.10526315789473684</v>
      </c>
      <c r="F37" s="325">
        <f t="shared" si="26"/>
        <v>8.771929824561403E-3</v>
      </c>
      <c r="I37" s="174" t="s">
        <v>208</v>
      </c>
      <c r="J37" s="238">
        <v>0</v>
      </c>
      <c r="K37" s="239">
        <v>0</v>
      </c>
      <c r="L37" s="239">
        <v>8.771929824561403E-3</v>
      </c>
      <c r="M37" s="239">
        <v>0.10526315789473684</v>
      </c>
      <c r="N37" s="240">
        <v>8.771929824561403E-3</v>
      </c>
      <c r="P37" s="174" t="s">
        <v>208</v>
      </c>
      <c r="Q37" s="238">
        <v>0</v>
      </c>
      <c r="R37" s="239">
        <v>0</v>
      </c>
      <c r="S37" s="239">
        <v>0.17518248175182483</v>
      </c>
      <c r="T37" s="239">
        <v>0.7384615384615385</v>
      </c>
      <c r="U37" s="240">
        <v>0.17518248175182483</v>
      </c>
    </row>
    <row r="38" spans="1:21" ht="15">
      <c r="A38" s="299" t="s">
        <v>209</v>
      </c>
      <c r="B38" s="326">
        <f t="shared" ref="B38:F38" si="27">(B7)/(B7+J7+B14+J14)</f>
        <v>0</v>
      </c>
      <c r="C38" s="327">
        <f t="shared" si="27"/>
        <v>8.771929824561403E-3</v>
      </c>
      <c r="D38" s="327">
        <f t="shared" si="27"/>
        <v>1.7543859649122806E-2</v>
      </c>
      <c r="E38" s="327">
        <f t="shared" si="27"/>
        <v>2.6315789473684209E-2</v>
      </c>
      <c r="F38" s="328">
        <f t="shared" si="27"/>
        <v>2.6315789473684209E-2</v>
      </c>
      <c r="I38" s="175" t="s">
        <v>209</v>
      </c>
      <c r="J38" s="242">
        <v>0</v>
      </c>
      <c r="K38" s="243">
        <v>8.771929824561403E-3</v>
      </c>
      <c r="L38" s="243">
        <v>1.7543859649122806E-2</v>
      </c>
      <c r="M38" s="243">
        <v>2.6315789473684209E-2</v>
      </c>
      <c r="N38" s="244">
        <v>2.6315789473684209E-2</v>
      </c>
      <c r="P38" s="175" t="s">
        <v>209</v>
      </c>
      <c r="Q38" s="242">
        <v>0</v>
      </c>
      <c r="R38" s="243">
        <v>0.17518248175182483</v>
      </c>
      <c r="S38" s="243">
        <v>0.3</v>
      </c>
      <c r="T38" s="243">
        <v>0.39344262295081966</v>
      </c>
      <c r="U38" s="244">
        <v>0.39344262295081966</v>
      </c>
    </row>
    <row r="40" spans="1:21" ht="14.25" customHeight="1">
      <c r="A40" s="300" t="s">
        <v>601</v>
      </c>
      <c r="B40" s="172" t="s">
        <v>268</v>
      </c>
      <c r="C40" s="172" t="s">
        <v>269</v>
      </c>
      <c r="D40" s="172" t="s">
        <v>270</v>
      </c>
      <c r="E40" s="172" t="s">
        <v>271</v>
      </c>
      <c r="F40" s="173" t="s">
        <v>272</v>
      </c>
      <c r="I40" s="171" t="s">
        <v>592</v>
      </c>
      <c r="J40" s="294" t="s">
        <v>268</v>
      </c>
      <c r="K40" s="294" t="s">
        <v>269</v>
      </c>
      <c r="L40" s="294" t="s">
        <v>270</v>
      </c>
      <c r="M40" s="294" t="s">
        <v>271</v>
      </c>
      <c r="N40" s="295" t="s">
        <v>272</v>
      </c>
      <c r="P40" s="171" t="s">
        <v>595</v>
      </c>
      <c r="Q40" s="294" t="s">
        <v>268</v>
      </c>
      <c r="R40" s="294" t="s">
        <v>269</v>
      </c>
      <c r="S40" s="294" t="s">
        <v>270</v>
      </c>
      <c r="T40" s="294" t="s">
        <v>271</v>
      </c>
      <c r="U40" s="295" t="s">
        <v>272</v>
      </c>
    </row>
    <row r="41" spans="1:21" ht="15">
      <c r="A41" s="298" t="s">
        <v>206</v>
      </c>
      <c r="B41" s="320">
        <f>(B4*3)/(B4*3+J4+B11+J11)</f>
        <v>0.22388059701492538</v>
      </c>
      <c r="C41" s="321">
        <f t="shared" ref="C41:F41" si="28">(C4*3)/(C4*3+K4+C11+K11)</f>
        <v>0.375</v>
      </c>
      <c r="D41" s="321">
        <f t="shared" si="28"/>
        <v>0.29577464788732394</v>
      </c>
      <c r="E41" s="321">
        <f t="shared" si="28"/>
        <v>0.1640625</v>
      </c>
      <c r="F41" s="322">
        <f t="shared" si="28"/>
        <v>0.2608695652173913</v>
      </c>
      <c r="I41" s="296" t="s">
        <v>206</v>
      </c>
      <c r="J41" s="338">
        <v>0.22388059701492538</v>
      </c>
      <c r="K41" s="332">
        <v>0.375</v>
      </c>
      <c r="L41" s="332">
        <v>0.29577464788732394</v>
      </c>
      <c r="M41" s="332">
        <v>0.1640625</v>
      </c>
      <c r="N41" s="333">
        <v>0.2608695652173913</v>
      </c>
      <c r="P41" s="296" t="s">
        <v>206</v>
      </c>
      <c r="Q41" s="338">
        <v>0.69767441860465118</v>
      </c>
      <c r="R41" s="332">
        <v>0.82758620689655171</v>
      </c>
      <c r="S41" s="332">
        <v>0.77064220183486243</v>
      </c>
      <c r="T41" s="332">
        <v>0.61090909090909096</v>
      </c>
      <c r="U41" s="333">
        <v>0.7384615384615385</v>
      </c>
    </row>
    <row r="42" spans="1:21" ht="15">
      <c r="A42" s="298" t="s">
        <v>207</v>
      </c>
      <c r="B42" s="323">
        <f t="shared" ref="B42:F42" si="29">(B5*3)/(B5*3+J5+B12+J12)</f>
        <v>0.24264705882352941</v>
      </c>
      <c r="C42" s="324">
        <f t="shared" si="29"/>
        <v>0.1640625</v>
      </c>
      <c r="D42" s="324">
        <f t="shared" si="29"/>
        <v>0.22388059701492538</v>
      </c>
      <c r="E42" s="324">
        <f t="shared" si="29"/>
        <v>0</v>
      </c>
      <c r="F42" s="325">
        <f t="shared" si="29"/>
        <v>2.5862068965517241E-2</v>
      </c>
      <c r="I42" s="296" t="s">
        <v>207</v>
      </c>
      <c r="J42" s="339">
        <v>0.24264705882352941</v>
      </c>
      <c r="K42" s="334">
        <v>0.1640625</v>
      </c>
      <c r="L42" s="334">
        <v>0.22388059701492538</v>
      </c>
      <c r="M42" s="334">
        <v>0</v>
      </c>
      <c r="N42" s="335">
        <v>2.5862068965517241E-2</v>
      </c>
      <c r="P42" s="296" t="s">
        <v>207</v>
      </c>
      <c r="Q42" s="339">
        <v>0.71934604904632149</v>
      </c>
      <c r="R42" s="334">
        <v>0.61090909090909096</v>
      </c>
      <c r="S42" s="334">
        <v>0.69767441860465118</v>
      </c>
      <c r="T42" s="334">
        <v>0</v>
      </c>
      <c r="U42" s="335">
        <v>0.17518248175182483</v>
      </c>
    </row>
    <row r="43" spans="1:21" ht="15">
      <c r="A43" s="298" t="s">
        <v>208</v>
      </c>
      <c r="B43" s="323">
        <f t="shared" ref="B43:F43" si="30">(B6*3)/(B6*3+J6+B13+J13)</f>
        <v>0</v>
      </c>
      <c r="C43" s="324">
        <f t="shared" si="30"/>
        <v>0</v>
      </c>
      <c r="D43" s="324">
        <f t="shared" si="30"/>
        <v>2.5862068965517241E-2</v>
      </c>
      <c r="E43" s="324">
        <f t="shared" si="30"/>
        <v>0.2608695652173913</v>
      </c>
      <c r="F43" s="325">
        <f t="shared" si="30"/>
        <v>2.5862068965517241E-2</v>
      </c>
      <c r="I43" s="296" t="s">
        <v>208</v>
      </c>
      <c r="J43" s="339">
        <v>0</v>
      </c>
      <c r="K43" s="334">
        <v>0</v>
      </c>
      <c r="L43" s="334">
        <v>2.5862068965517241E-2</v>
      </c>
      <c r="M43" s="334">
        <v>0.2608695652173913</v>
      </c>
      <c r="N43" s="335">
        <v>2.5862068965517241E-2</v>
      </c>
      <c r="P43" s="296" t="s">
        <v>208</v>
      </c>
      <c r="Q43" s="339">
        <v>0</v>
      </c>
      <c r="R43" s="334">
        <v>0</v>
      </c>
      <c r="S43" s="334">
        <v>0.17518248175182483</v>
      </c>
      <c r="T43" s="334">
        <v>0.7384615384615385</v>
      </c>
      <c r="U43" s="335">
        <v>0.17518248175182483</v>
      </c>
    </row>
    <row r="44" spans="1:21" ht="15">
      <c r="A44" s="299" t="s">
        <v>209</v>
      </c>
      <c r="B44" s="326">
        <f t="shared" ref="B44:F44" si="31">(B7*3)/(B7*3+J7+B14+J14)</f>
        <v>0</v>
      </c>
      <c r="C44" s="327">
        <f t="shared" si="31"/>
        <v>2.5862068965517241E-2</v>
      </c>
      <c r="D44" s="327">
        <f t="shared" si="31"/>
        <v>5.0847457627118647E-2</v>
      </c>
      <c r="E44" s="327">
        <f t="shared" si="31"/>
        <v>7.4999999999999997E-2</v>
      </c>
      <c r="F44" s="328">
        <f t="shared" si="31"/>
        <v>7.4999999999999997E-2</v>
      </c>
      <c r="I44" s="297" t="s">
        <v>209</v>
      </c>
      <c r="J44" s="340">
        <v>0</v>
      </c>
      <c r="K44" s="336">
        <v>2.5862068965517241E-2</v>
      </c>
      <c r="L44" s="336">
        <v>5.0847457627118647E-2</v>
      </c>
      <c r="M44" s="336">
        <v>7.4999999999999997E-2</v>
      </c>
      <c r="N44" s="337">
        <v>7.4999999999999997E-2</v>
      </c>
      <c r="P44" s="297" t="s">
        <v>209</v>
      </c>
      <c r="Q44" s="340">
        <v>0</v>
      </c>
      <c r="R44" s="336">
        <v>0.17518248175182483</v>
      </c>
      <c r="S44" s="336">
        <v>0.3</v>
      </c>
      <c r="T44" s="336">
        <v>0.39344262295081966</v>
      </c>
      <c r="U44" s="337">
        <v>0.39344262295081966</v>
      </c>
    </row>
    <row r="46" spans="1:21" ht="15">
      <c r="A46" s="300" t="s">
        <v>602</v>
      </c>
      <c r="B46" s="172" t="s">
        <v>268</v>
      </c>
      <c r="C46" s="172" t="s">
        <v>269</v>
      </c>
      <c r="D46" s="172" t="s">
        <v>270</v>
      </c>
      <c r="E46" s="172" t="s">
        <v>271</v>
      </c>
      <c r="F46" s="173" t="s">
        <v>272</v>
      </c>
      <c r="I46" s="171" t="s">
        <v>578</v>
      </c>
      <c r="J46" s="294" t="s">
        <v>268</v>
      </c>
      <c r="K46" s="294" t="s">
        <v>269</v>
      </c>
      <c r="L46" s="294" t="s">
        <v>270</v>
      </c>
      <c r="M46" s="294" t="s">
        <v>271</v>
      </c>
      <c r="N46" s="295" t="s">
        <v>272</v>
      </c>
      <c r="P46" s="171" t="s">
        <v>607</v>
      </c>
      <c r="Q46" s="172" t="s">
        <v>268</v>
      </c>
      <c r="R46" s="172" t="s">
        <v>269</v>
      </c>
      <c r="S46" s="172" t="s">
        <v>270</v>
      </c>
      <c r="T46" s="172" t="s">
        <v>271</v>
      </c>
      <c r="U46" s="173" t="s">
        <v>272</v>
      </c>
    </row>
    <row r="47" spans="1:21" ht="15">
      <c r="A47" s="298" t="s">
        <v>206</v>
      </c>
      <c r="B47" s="320">
        <f>((B4+J11)-(J4+B11))/((B4+J11)+(J4+B11))</f>
        <v>-0.10526315789473684</v>
      </c>
      <c r="C47" s="321">
        <f t="shared" ref="C47:F47" si="32">((C4+K11)-(K4+C11))/((C4+K11)+(K4+C11))</f>
        <v>0.10526315789473684</v>
      </c>
      <c r="D47" s="321">
        <f t="shared" si="32"/>
        <v>-7.0175438596491224E-2</v>
      </c>
      <c r="E47" s="321">
        <f t="shared" si="32"/>
        <v>-0.22807017543859648</v>
      </c>
      <c r="F47" s="322">
        <f t="shared" si="32"/>
        <v>3.5087719298245612E-2</v>
      </c>
      <c r="I47" s="296" t="s">
        <v>206</v>
      </c>
      <c r="J47" s="338">
        <v>-0.10526315789473684</v>
      </c>
      <c r="K47" s="332">
        <v>0.10526315789473684</v>
      </c>
      <c r="L47" s="332">
        <v>-7.0175438596491224E-2</v>
      </c>
      <c r="M47" s="332">
        <v>-0.22807017543859648</v>
      </c>
      <c r="N47" s="333">
        <v>3.5087719298245612E-2</v>
      </c>
      <c r="P47" s="174" t="s">
        <v>206</v>
      </c>
      <c r="Q47" s="235">
        <v>0.31521739130434784</v>
      </c>
      <c r="R47" s="236">
        <v>0.58704453441295545</v>
      </c>
      <c r="S47" s="236">
        <v>0.42452830188679247</v>
      </c>
      <c r="T47" s="236">
        <v>0.1411042944785276</v>
      </c>
      <c r="U47" s="237">
        <v>0.44444444444444442</v>
      </c>
    </row>
    <row r="48" spans="1:21" ht="15">
      <c r="A48" s="298" t="s">
        <v>207</v>
      </c>
      <c r="B48" s="323">
        <f t="shared" ref="B48:F48" si="33">((B5+J12)-(J5+B12))/((B5+J12)+(J5+B12))</f>
        <v>0.50877192982456143</v>
      </c>
      <c r="C48" s="324">
        <f t="shared" si="33"/>
        <v>0.26315789473684209</v>
      </c>
      <c r="D48" s="324">
        <f t="shared" si="33"/>
        <v>0.36842105263157893</v>
      </c>
      <c r="E48" s="324">
        <f t="shared" si="33"/>
        <v>0.10526315789473684</v>
      </c>
      <c r="F48" s="325">
        <f t="shared" si="33"/>
        <v>0.22807017543859648</v>
      </c>
      <c r="I48" s="296" t="s">
        <v>207</v>
      </c>
      <c r="J48" s="339">
        <v>0.50877192982456143</v>
      </c>
      <c r="K48" s="334">
        <v>0.26315789473684209</v>
      </c>
      <c r="L48" s="334">
        <v>0.36842105263157893</v>
      </c>
      <c r="M48" s="334">
        <v>0.10526315789473684</v>
      </c>
      <c r="N48" s="335">
        <v>0.22807017543859648</v>
      </c>
      <c r="P48" s="174" t="s">
        <v>207</v>
      </c>
      <c r="Q48" s="238">
        <v>0.70680628272251311</v>
      </c>
      <c r="R48" s="239">
        <v>0.48466257668711654</v>
      </c>
      <c r="S48" s="239">
        <v>0.60869565217391308</v>
      </c>
      <c r="T48" s="239">
        <v>0.10526315789473684</v>
      </c>
      <c r="U48" s="240">
        <v>0.27272727272727271</v>
      </c>
    </row>
    <row r="49" spans="1:21" ht="15">
      <c r="A49" s="298" t="s">
        <v>208</v>
      </c>
      <c r="B49" s="323">
        <f t="shared" ref="B49:F49" si="34">((B6+J13)-(J6+B13))/((B6+J13)+(J6+B13))</f>
        <v>0.38596491228070173</v>
      </c>
      <c r="C49" s="324">
        <f t="shared" si="34"/>
        <v>0.2807017543859649</v>
      </c>
      <c r="D49" s="324">
        <f t="shared" si="34"/>
        <v>0.31578947368421051</v>
      </c>
      <c r="E49" s="324">
        <f t="shared" si="34"/>
        <v>0.78947368421052633</v>
      </c>
      <c r="F49" s="325">
        <f t="shared" si="34"/>
        <v>0.49122807017543857</v>
      </c>
      <c r="I49" s="296" t="s">
        <v>208</v>
      </c>
      <c r="J49" s="339">
        <v>0.38596491228070173</v>
      </c>
      <c r="K49" s="334">
        <v>0.2807017543859649</v>
      </c>
      <c r="L49" s="334">
        <v>0.31578947368421051</v>
      </c>
      <c r="M49" s="334">
        <v>0.78947368421052633</v>
      </c>
      <c r="N49" s="335">
        <v>0.49122807017543857</v>
      </c>
      <c r="P49" s="174" t="s">
        <v>208</v>
      </c>
      <c r="Q49" s="238">
        <v>0.38596491228070173</v>
      </c>
      <c r="R49" s="239">
        <v>0.2807017543859649</v>
      </c>
      <c r="S49" s="239">
        <v>0.35537190082644626</v>
      </c>
      <c r="T49" s="239">
        <v>0.87878787878787878</v>
      </c>
      <c r="U49" s="240">
        <v>0.52066115702479343</v>
      </c>
    </row>
    <row r="50" spans="1:21" ht="15">
      <c r="A50" s="299" t="s">
        <v>209</v>
      </c>
      <c r="B50" s="326">
        <f t="shared" ref="B50:F50" si="35">((B7+J14)-(J7+B14))/((B7+J14)+(J7+B14))</f>
        <v>0.47368421052631576</v>
      </c>
      <c r="C50" s="327">
        <f t="shared" si="35"/>
        <v>0.40350877192982454</v>
      </c>
      <c r="D50" s="327">
        <f t="shared" si="35"/>
        <v>0.43859649122807015</v>
      </c>
      <c r="E50" s="327">
        <f t="shared" si="35"/>
        <v>0.56140350877192979</v>
      </c>
      <c r="F50" s="328">
        <f t="shared" si="35"/>
        <v>0.64912280701754388</v>
      </c>
      <c r="I50" s="297" t="s">
        <v>209</v>
      </c>
      <c r="J50" s="340">
        <v>0.47368421052631576</v>
      </c>
      <c r="K50" s="336">
        <v>0.40350877192982454</v>
      </c>
      <c r="L50" s="336">
        <v>0.43859649122807015</v>
      </c>
      <c r="M50" s="336">
        <v>0.56140350877192979</v>
      </c>
      <c r="N50" s="337">
        <v>0.64912280701754388</v>
      </c>
      <c r="P50" s="175" t="s">
        <v>209</v>
      </c>
      <c r="Q50" s="242">
        <v>0.47368421052631576</v>
      </c>
      <c r="R50" s="243">
        <v>0.43801652892561982</v>
      </c>
      <c r="S50" s="243">
        <v>0.5</v>
      </c>
      <c r="T50" s="243">
        <v>0.62962962962962965</v>
      </c>
      <c r="U50" s="244">
        <v>0.70370370370370372</v>
      </c>
    </row>
    <row r="52" spans="1:21" ht="15">
      <c r="A52" s="300" t="s">
        <v>603</v>
      </c>
      <c r="B52" s="172" t="s">
        <v>268</v>
      </c>
      <c r="C52" s="172" t="s">
        <v>269</v>
      </c>
      <c r="D52" s="172" t="s">
        <v>270</v>
      </c>
      <c r="E52" s="172" t="s">
        <v>271</v>
      </c>
      <c r="F52" s="173" t="s">
        <v>272</v>
      </c>
      <c r="I52" s="171" t="s">
        <v>579</v>
      </c>
      <c r="J52" s="294" t="s">
        <v>268</v>
      </c>
      <c r="K52" s="294" t="s">
        <v>269</v>
      </c>
      <c r="L52" s="294" t="s">
        <v>270</v>
      </c>
      <c r="M52" s="294" t="s">
        <v>271</v>
      </c>
      <c r="N52" s="295" t="s">
        <v>272</v>
      </c>
      <c r="P52" s="171" t="s">
        <v>608</v>
      </c>
      <c r="Q52" s="294" t="s">
        <v>268</v>
      </c>
      <c r="R52" s="294" t="s">
        <v>269</v>
      </c>
      <c r="S52" s="294" t="s">
        <v>270</v>
      </c>
      <c r="T52" s="294" t="s">
        <v>271</v>
      </c>
      <c r="U52" s="295" t="s">
        <v>272</v>
      </c>
    </row>
    <row r="53" spans="1:21" ht="15">
      <c r="A53" s="298" t="s">
        <v>206</v>
      </c>
      <c r="B53" s="320">
        <f>((B4*J11)-(J4*B11))/((B4*J11)+(J4*B11))</f>
        <v>-0.164969450101833</v>
      </c>
      <c r="C53" s="321">
        <f t="shared" ref="C53:F53" si="36">((C4*K11)-(K4*C11))/((C4*K11)+(K4*C11))</f>
        <v>0.41694915254237286</v>
      </c>
      <c r="D53" s="321">
        <f t="shared" si="36"/>
        <v>-6.6666666666666666E-2</v>
      </c>
      <c r="E53" s="321">
        <f t="shared" si="36"/>
        <v>-0.52214022140221406</v>
      </c>
      <c r="F53" s="322">
        <f t="shared" si="36"/>
        <v>0.38574938574938578</v>
      </c>
      <c r="I53" s="296" t="s">
        <v>206</v>
      </c>
      <c r="J53" s="338">
        <v>-0.164969450101833</v>
      </c>
      <c r="K53" s="332">
        <v>0.41694915254237286</v>
      </c>
      <c r="L53" s="332">
        <v>-6.6666666666666666E-2</v>
      </c>
      <c r="M53" s="332">
        <v>-0.52214022140221406</v>
      </c>
      <c r="N53" s="333">
        <v>0.38574938574938578</v>
      </c>
      <c r="P53" s="296" t="s">
        <v>206</v>
      </c>
      <c r="Q53" s="338">
        <v>0.70301142263759087</v>
      </c>
      <c r="R53" s="332">
        <v>0.90216154721274178</v>
      </c>
      <c r="S53" s="332">
        <v>0.75</v>
      </c>
      <c r="T53" s="332">
        <v>0.43044528822920264</v>
      </c>
      <c r="U53" s="333">
        <v>0.89500209995800084</v>
      </c>
    </row>
    <row r="54" spans="1:21" ht="15">
      <c r="A54" s="298" t="s">
        <v>207</v>
      </c>
      <c r="B54" s="323">
        <f t="shared" ref="B54:F54" si="37">((B5*J12)-(J5*B12))/((B5*J12)+(J5*B12))</f>
        <v>0.64179104477611937</v>
      </c>
      <c r="C54" s="324">
        <f t="shared" si="37"/>
        <v>1.6759776536312849E-2</v>
      </c>
      <c r="D54" s="324">
        <f t="shared" si="37"/>
        <v>0.3559322033898305</v>
      </c>
      <c r="E54" s="324">
        <f t="shared" si="37"/>
        <v>-1</v>
      </c>
      <c r="F54" s="325">
        <f t="shared" si="37"/>
        <v>-0.73307543520309482</v>
      </c>
      <c r="I54" s="296" t="s">
        <v>207</v>
      </c>
      <c r="J54" s="339">
        <v>0.64179104477611937</v>
      </c>
      <c r="K54" s="334">
        <v>1.6759776536312849E-2</v>
      </c>
      <c r="L54" s="334">
        <v>0.3559322033898305</v>
      </c>
      <c r="M54" s="334">
        <v>-1</v>
      </c>
      <c r="N54" s="335">
        <v>-0.73307543520309482</v>
      </c>
      <c r="P54" s="296" t="s">
        <v>207</v>
      </c>
      <c r="Q54" s="339">
        <v>0.94690265486725667</v>
      </c>
      <c r="R54" s="334">
        <v>0.78431372549019607</v>
      </c>
      <c r="S54" s="334">
        <v>0.88790560471976399</v>
      </c>
      <c r="T54" s="334">
        <v>-1</v>
      </c>
      <c r="U54" s="335">
        <v>0.104</v>
      </c>
    </row>
    <row r="55" spans="1:21" ht="15">
      <c r="A55" s="298" t="s">
        <v>208</v>
      </c>
      <c r="B55" s="323">
        <f t="shared" ref="B55:F55" si="38">((B6*J13)-(J6*B13))/((B6*J13)+(J6*B13))</f>
        <v>-1</v>
      </c>
      <c r="C55" s="324">
        <f t="shared" si="38"/>
        <v>-1</v>
      </c>
      <c r="D55" s="324">
        <f t="shared" si="38"/>
        <v>-0.64077669902912626</v>
      </c>
      <c r="E55" s="324">
        <f t="shared" si="38"/>
        <v>0.96363636363636362</v>
      </c>
      <c r="F55" s="325">
        <f t="shared" si="38"/>
        <v>-0.42465753424657532</v>
      </c>
      <c r="I55" s="296" t="s">
        <v>208</v>
      </c>
      <c r="J55" s="339">
        <v>-1</v>
      </c>
      <c r="K55" s="334">
        <v>-1</v>
      </c>
      <c r="L55" s="334">
        <v>-0.64077669902912626</v>
      </c>
      <c r="M55" s="334">
        <v>0.96363636363636362</v>
      </c>
      <c r="N55" s="335">
        <v>-0.42465753424657532</v>
      </c>
      <c r="P55" s="296" t="s">
        <v>208</v>
      </c>
      <c r="Q55" s="339">
        <v>-1</v>
      </c>
      <c r="R55" s="334">
        <v>-1</v>
      </c>
      <c r="S55" s="334">
        <v>0.27311827956989249</v>
      </c>
      <c r="T55" s="334">
        <v>0.99538106235565815</v>
      </c>
      <c r="U55" s="335">
        <v>0.52727272727272723</v>
      </c>
    </row>
    <row r="56" spans="1:21" ht="15">
      <c r="A56" s="299" t="s">
        <v>209</v>
      </c>
      <c r="B56" s="326">
        <f t="shared" ref="B56:F56" si="39">((B7*J14)-(J7*B14))/((B7*J14)+(J7*B14))</f>
        <v>-1</v>
      </c>
      <c r="C56" s="327">
        <f t="shared" si="39"/>
        <v>-0.44947735191637633</v>
      </c>
      <c r="D56" s="327">
        <f t="shared" si="39"/>
        <v>-4.4776119402985072E-2</v>
      </c>
      <c r="E56" s="327">
        <f t="shared" si="39"/>
        <v>0.38709677419354838</v>
      </c>
      <c r="F56" s="328">
        <f t="shared" si="39"/>
        <v>0.52941176470588236</v>
      </c>
      <c r="I56" s="297" t="s">
        <v>209</v>
      </c>
      <c r="J56" s="340">
        <v>-1</v>
      </c>
      <c r="K56" s="336">
        <v>-0.44947735191637633</v>
      </c>
      <c r="L56" s="336">
        <v>-4.4776119402985072E-2</v>
      </c>
      <c r="M56" s="336">
        <v>0.38709677419354838</v>
      </c>
      <c r="N56" s="337">
        <v>0.52941176470588236</v>
      </c>
      <c r="P56" s="297" t="s">
        <v>209</v>
      </c>
      <c r="Q56" s="340">
        <v>-1</v>
      </c>
      <c r="R56" s="336">
        <v>0.50476190476190474</v>
      </c>
      <c r="S56" s="336">
        <v>0.75945017182130581</v>
      </c>
      <c r="T56" s="336">
        <v>0.89531680440771355</v>
      </c>
      <c r="U56" s="337">
        <v>0.92592592592592593</v>
      </c>
    </row>
    <row r="58" spans="1:21" ht="15">
      <c r="A58" s="300" t="s">
        <v>604</v>
      </c>
      <c r="B58" s="172" t="s">
        <v>268</v>
      </c>
      <c r="C58" s="172" t="s">
        <v>269</v>
      </c>
      <c r="D58" s="172" t="s">
        <v>270</v>
      </c>
      <c r="E58" s="172" t="s">
        <v>271</v>
      </c>
      <c r="F58" s="173" t="s">
        <v>272</v>
      </c>
      <c r="I58" s="171" t="s">
        <v>580</v>
      </c>
      <c r="J58" s="294" t="s">
        <v>268</v>
      </c>
      <c r="K58" s="294" t="s">
        <v>269</v>
      </c>
      <c r="L58" s="294" t="s">
        <v>270</v>
      </c>
      <c r="M58" s="294" t="s">
        <v>271</v>
      </c>
      <c r="N58" s="295" t="s">
        <v>272</v>
      </c>
      <c r="P58" s="171" t="s">
        <v>609</v>
      </c>
      <c r="Q58" s="172" t="s">
        <v>268</v>
      </c>
      <c r="R58" s="172" t="s">
        <v>269</v>
      </c>
      <c r="S58" s="172" t="s">
        <v>270</v>
      </c>
      <c r="T58" s="172" t="s">
        <v>271</v>
      </c>
      <c r="U58" s="173" t="s">
        <v>272</v>
      </c>
    </row>
    <row r="59" spans="1:21" ht="15">
      <c r="A59" s="298" t="s">
        <v>206</v>
      </c>
      <c r="B59" s="320">
        <f>(B4*J11-J4*B11)/SQRT(((B4+J4)*(B11+J11)*(B4+B11)*(J4+J11)))</f>
        <v>-6.4560424354353982E-2</v>
      </c>
      <c r="C59" s="321">
        <f t="shared" ref="C59:F59" si="40">(C4*K11-K4*C11)/SQRT(((C4+K4)*(C11+K11)*(C4+C11)*(K4+K11)))</f>
        <v>0.17878294125411845</v>
      </c>
      <c r="D59" s="321">
        <f t="shared" si="40"/>
        <v>-2.834363702809195E-2</v>
      </c>
      <c r="E59" s="321">
        <f t="shared" si="40"/>
        <v>-0.22157137894988277</v>
      </c>
      <c r="F59" s="322">
        <f t="shared" si="40"/>
        <v>0.13618265713501773</v>
      </c>
      <c r="I59" s="296" t="s">
        <v>206</v>
      </c>
      <c r="J59" s="338">
        <v>-6.4560424354353982E-2</v>
      </c>
      <c r="K59" s="332">
        <v>0.17878294125411845</v>
      </c>
      <c r="L59" s="332">
        <v>-2.834363702809195E-2</v>
      </c>
      <c r="M59" s="332">
        <v>-0.22157137894988277</v>
      </c>
      <c r="N59" s="333">
        <v>0.13618265713501773</v>
      </c>
      <c r="P59" s="174" t="s">
        <v>206</v>
      </c>
      <c r="Q59" s="235">
        <v>0.35530216363022932</v>
      </c>
      <c r="R59" s="236">
        <v>0.53397949362953845</v>
      </c>
      <c r="S59" s="236">
        <v>0.39360403698518454</v>
      </c>
      <c r="T59" s="236">
        <v>0.20308610215644141</v>
      </c>
      <c r="U59" s="237">
        <v>0.49418412668385792</v>
      </c>
    </row>
    <row r="60" spans="1:21" ht="15">
      <c r="A60" s="298" t="s">
        <v>207</v>
      </c>
      <c r="B60" s="323">
        <f t="shared" ref="B60:F60" si="41">(B5*J12-J5*B12)/SQRT(((B5+J5)*(B12+J12)*(B5+B12)*(J5+J12)))</f>
        <v>0.29396804974638507</v>
      </c>
      <c r="C60" s="324">
        <f t="shared" si="41"/>
        <v>6.2336338453636833E-3</v>
      </c>
      <c r="D60" s="324">
        <f t="shared" si="41"/>
        <v>0.14836048551965567</v>
      </c>
      <c r="E60" s="324">
        <f t="shared" si="41"/>
        <v>-0.28563206708869476</v>
      </c>
      <c r="F60" s="325">
        <f t="shared" si="41"/>
        <v>-0.18798379824085729</v>
      </c>
      <c r="I60" s="296" t="s">
        <v>207</v>
      </c>
      <c r="J60" s="339">
        <v>0.29396804974638507</v>
      </c>
      <c r="K60" s="334">
        <v>6.2336338453636833E-3</v>
      </c>
      <c r="L60" s="334">
        <v>0.14836048551965567</v>
      </c>
      <c r="M60" s="334">
        <v>-0.28563206708869476</v>
      </c>
      <c r="N60" s="335">
        <v>-0.18798379824085729</v>
      </c>
      <c r="P60" s="174" t="s">
        <v>207</v>
      </c>
      <c r="Q60" s="238">
        <v>0.70846454423304528</v>
      </c>
      <c r="R60" s="239">
        <v>0.48331112465904796</v>
      </c>
      <c r="S60" s="239">
        <v>0.60721552011763169</v>
      </c>
      <c r="T60" s="239">
        <v>-0.28563206708869476</v>
      </c>
      <c r="U60" s="240">
        <v>3.8965579372130008E-2</v>
      </c>
    </row>
    <row r="61" spans="1:21" ht="15">
      <c r="A61" s="298" t="s">
        <v>208</v>
      </c>
      <c r="B61" s="323">
        <f t="shared" ref="B61:F61" si="42">(B6*J13-J6*B13)/SQRT(((B6+J6)*(B13+J13)*(B6+B13)*(J6+J13)))</f>
        <v>-0.17780017780026669</v>
      </c>
      <c r="C61" s="324">
        <f t="shared" si="42"/>
        <v>-0.20844250013389534</v>
      </c>
      <c r="D61" s="324">
        <f t="shared" si="42"/>
        <v>-0.14557888898240309</v>
      </c>
      <c r="E61" s="324">
        <f t="shared" si="42"/>
        <v>0.62970420489132872</v>
      </c>
      <c r="F61" s="325">
        <f t="shared" si="42"/>
        <v>-8.1610744451818804E-2</v>
      </c>
      <c r="I61" s="296" t="s">
        <v>208</v>
      </c>
      <c r="J61" s="339">
        <v>-0.17780017780026669</v>
      </c>
      <c r="K61" s="334">
        <v>-0.20844250013389534</v>
      </c>
      <c r="L61" s="334">
        <v>-0.14557888898240309</v>
      </c>
      <c r="M61" s="334">
        <v>0.62970420489132872</v>
      </c>
      <c r="N61" s="335">
        <v>-8.1610744451818804E-2</v>
      </c>
      <c r="P61" s="174" t="s">
        <v>208</v>
      </c>
      <c r="Q61" s="238">
        <v>-0.17780017780026669</v>
      </c>
      <c r="R61" s="239">
        <v>-0.20844250013389534</v>
      </c>
      <c r="S61" s="239">
        <v>0.10191192017257142</v>
      </c>
      <c r="T61" s="239">
        <v>0.88175388465855087</v>
      </c>
      <c r="U61" s="240">
        <v>0.2098538035966461</v>
      </c>
    </row>
    <row r="62" spans="1:21" ht="15">
      <c r="A62" s="299" t="s">
        <v>209</v>
      </c>
      <c r="B62" s="326">
        <f t="shared" ref="B62:F62" si="43">(B7*J14-J7*B14)/SQRT(((B7+J7)*(B14+J14)*(B7+B14)*(J7+J14)))</f>
        <v>-0.13912166872805048</v>
      </c>
      <c r="C62" s="327">
        <f t="shared" si="43"/>
        <v>-8.6582933834967346E-2</v>
      </c>
      <c r="D62" s="327">
        <f t="shared" si="43"/>
        <v>-1.006778300406597E-2</v>
      </c>
      <c r="E62" s="327">
        <f t="shared" si="43"/>
        <v>0.10412172002259189</v>
      </c>
      <c r="F62" s="328">
        <f t="shared" si="43"/>
        <v>0.15140338049872026</v>
      </c>
      <c r="I62" s="297" t="s">
        <v>209</v>
      </c>
      <c r="J62" s="340">
        <v>-0.13912166872805048</v>
      </c>
      <c r="K62" s="336">
        <v>-8.6582933834967346E-2</v>
      </c>
      <c r="L62" s="336">
        <v>-1.006778300406597E-2</v>
      </c>
      <c r="M62" s="336">
        <v>0.10412172002259189</v>
      </c>
      <c r="N62" s="337">
        <v>0.15140338049872026</v>
      </c>
      <c r="P62" s="175" t="s">
        <v>209</v>
      </c>
      <c r="Q62" s="242">
        <v>-0.13912166872805048</v>
      </c>
      <c r="R62" s="243">
        <v>0.19020070873764244</v>
      </c>
      <c r="S62" s="243">
        <v>0.37648888210833592</v>
      </c>
      <c r="T62" s="243">
        <v>0.55239684951912926</v>
      </c>
      <c r="U62" s="244">
        <v>0.61629174761381111</v>
      </c>
    </row>
    <row r="64" spans="1:21" ht="15">
      <c r="A64" s="300" t="s">
        <v>605</v>
      </c>
      <c r="B64" s="172" t="s">
        <v>268</v>
      </c>
      <c r="C64" s="172" t="s">
        <v>269</v>
      </c>
      <c r="D64" s="172" t="s">
        <v>270</v>
      </c>
      <c r="E64" s="172" t="s">
        <v>271</v>
      </c>
      <c r="F64" s="173" t="s">
        <v>272</v>
      </c>
      <c r="I64" s="171" t="s">
        <v>581</v>
      </c>
      <c r="J64" s="294" t="s">
        <v>268</v>
      </c>
      <c r="K64" s="294" t="s">
        <v>269</v>
      </c>
      <c r="L64" s="294" t="s">
        <v>270</v>
      </c>
      <c r="M64" s="294" t="s">
        <v>271</v>
      </c>
      <c r="N64" s="295" t="s">
        <v>272</v>
      </c>
      <c r="P64" s="171" t="s">
        <v>610</v>
      </c>
      <c r="Q64" s="294" t="s">
        <v>268</v>
      </c>
      <c r="R64" s="294" t="s">
        <v>269</v>
      </c>
      <c r="S64" s="294" t="s">
        <v>270</v>
      </c>
      <c r="T64" s="294" t="s">
        <v>271</v>
      </c>
      <c r="U64" s="295" t="s">
        <v>272</v>
      </c>
    </row>
    <row r="65" spans="1:21" ht="15">
      <c r="A65" s="298" t="s">
        <v>206</v>
      </c>
      <c r="B65" s="320">
        <f>B4/SQRT((B4+J4)*(B4+B11))</f>
        <v>0.27713699773684664</v>
      </c>
      <c r="C65" s="321">
        <f t="shared" ref="C65:F65" si="44">C4/SQRT((C4+K4)*(C4+C11))</f>
        <v>0.46438253090095211</v>
      </c>
      <c r="D65" s="321">
        <f t="shared" si="44"/>
        <v>0.342176601716491</v>
      </c>
      <c r="E65" s="321">
        <f t="shared" si="44"/>
        <v>0.18953562637585883</v>
      </c>
      <c r="F65" s="322">
        <f t="shared" si="44"/>
        <v>0.3696246621802185</v>
      </c>
      <c r="I65" s="296" t="s">
        <v>206</v>
      </c>
      <c r="J65" s="338">
        <v>0.27713699773684664</v>
      </c>
      <c r="K65" s="332">
        <v>0.46438253090095211</v>
      </c>
      <c r="L65" s="332">
        <v>0.342176601716491</v>
      </c>
      <c r="M65" s="332">
        <v>0.18953562637585883</v>
      </c>
      <c r="N65" s="333">
        <v>0.3696246621802185</v>
      </c>
      <c r="P65" s="296" t="s">
        <v>206</v>
      </c>
      <c r="Q65" s="338">
        <v>0.72993186860181192</v>
      </c>
      <c r="R65" s="332">
        <v>0.86053054594989287</v>
      </c>
      <c r="S65" s="332">
        <v>0.7919595949289332</v>
      </c>
      <c r="T65" s="332">
        <v>0.63080824804877889</v>
      </c>
      <c r="U65" s="333">
        <v>0.79055869247629584</v>
      </c>
    </row>
    <row r="66" spans="1:21" ht="15">
      <c r="A66" s="298" t="s">
        <v>207</v>
      </c>
      <c r="B66" s="323">
        <f t="shared" ref="B66:F66" si="45">B5/SQRT((B5+J5)*(B5+B12))</f>
        <v>0.44574249416020928</v>
      </c>
      <c r="C66" s="324">
        <f t="shared" si="45"/>
        <v>0.25015959146215216</v>
      </c>
      <c r="D66" s="324">
        <f t="shared" si="45"/>
        <v>0.35737084494593163</v>
      </c>
      <c r="E66" s="324">
        <f t="shared" si="45"/>
        <v>0</v>
      </c>
      <c r="F66" s="325">
        <f t="shared" si="45"/>
        <v>4.5037734911104493E-2</v>
      </c>
      <c r="I66" s="296" t="s">
        <v>207</v>
      </c>
      <c r="J66" s="339">
        <v>0.44574249416020928</v>
      </c>
      <c r="K66" s="334">
        <v>0.25015959146215216</v>
      </c>
      <c r="L66" s="334">
        <v>0.35737084494593163</v>
      </c>
      <c r="M66" s="334">
        <v>0</v>
      </c>
      <c r="N66" s="335">
        <v>4.5037734911104493E-2</v>
      </c>
      <c r="P66" s="296" t="s">
        <v>207</v>
      </c>
      <c r="Q66" s="339">
        <v>0.86340925910604527</v>
      </c>
      <c r="R66" s="334">
        <v>0.72733406685258362</v>
      </c>
      <c r="S66" s="334">
        <v>0.81636903323016929</v>
      </c>
      <c r="T66" s="334">
        <v>0</v>
      </c>
      <c r="U66" s="335">
        <v>0.27216552697590868</v>
      </c>
    </row>
    <row r="67" spans="1:21" ht="15">
      <c r="A67" s="298" t="s">
        <v>208</v>
      </c>
      <c r="B67" s="323">
        <f t="shared" ref="B67:F67" si="46">B6/SQRT((B6+J6)*(B6+B13))</f>
        <v>0</v>
      </c>
      <c r="C67" s="324">
        <f t="shared" si="46"/>
        <v>0</v>
      </c>
      <c r="D67" s="324">
        <f t="shared" si="46"/>
        <v>5.1434449987363969E-2</v>
      </c>
      <c r="E67" s="324">
        <f t="shared" si="46"/>
        <v>0.68376345875782762</v>
      </c>
      <c r="F67" s="325">
        <f t="shared" si="46"/>
        <v>6.4820372355216441E-2</v>
      </c>
      <c r="I67" s="296" t="s">
        <v>208</v>
      </c>
      <c r="J67" s="339">
        <v>0</v>
      </c>
      <c r="K67" s="334">
        <v>0</v>
      </c>
      <c r="L67" s="334">
        <v>5.1434449987363969E-2</v>
      </c>
      <c r="M67" s="334">
        <v>0.68376345875782762</v>
      </c>
      <c r="N67" s="335">
        <v>6.4820372355216441E-2</v>
      </c>
      <c r="P67" s="296" t="s">
        <v>208</v>
      </c>
      <c r="Q67" s="339">
        <v>0</v>
      </c>
      <c r="R67" s="334">
        <v>0</v>
      </c>
      <c r="S67" s="334">
        <v>0.29939247542604791</v>
      </c>
      <c r="T67" s="334">
        <v>0.94190100993386761</v>
      </c>
      <c r="U67" s="335">
        <v>0.35634832254989918</v>
      </c>
    </row>
    <row r="68" spans="1:21" ht="15">
      <c r="A68" s="299" t="s">
        <v>209</v>
      </c>
      <c r="B68" s="326">
        <f t="shared" ref="B68:F68" si="47">B7/SQRT((B7+J7)*(B7+B14))</f>
        <v>0</v>
      </c>
      <c r="C68" s="327">
        <f t="shared" si="47"/>
        <v>6.4150029909958411E-2</v>
      </c>
      <c r="D68" s="327">
        <f t="shared" si="47"/>
        <v>0.12830005981991682</v>
      </c>
      <c r="E68" s="327">
        <f t="shared" si="47"/>
        <v>0.21320071635561044</v>
      </c>
      <c r="F68" s="328">
        <f t="shared" si="47"/>
        <v>0.242535625036333</v>
      </c>
      <c r="I68" s="297" t="s">
        <v>209</v>
      </c>
      <c r="J68" s="340">
        <v>0</v>
      </c>
      <c r="K68" s="336">
        <v>6.4150029909958411E-2</v>
      </c>
      <c r="L68" s="336">
        <v>0.12830005981991682</v>
      </c>
      <c r="M68" s="336">
        <v>0.21320071635561044</v>
      </c>
      <c r="N68" s="337">
        <v>0.242535625036333</v>
      </c>
      <c r="P68" s="297" t="s">
        <v>209</v>
      </c>
      <c r="Q68" s="340">
        <v>0</v>
      </c>
      <c r="R68" s="336">
        <v>0.34299717028501764</v>
      </c>
      <c r="S68" s="336">
        <v>0.52103168722066884</v>
      </c>
      <c r="T68" s="336">
        <v>0.6682152556676455</v>
      </c>
      <c r="U68" s="337">
        <v>0.71081865331091076</v>
      </c>
    </row>
    <row r="70" spans="1:21" ht="15">
      <c r="A70" s="300" t="s">
        <v>606</v>
      </c>
      <c r="B70" s="172" t="s">
        <v>268</v>
      </c>
      <c r="C70" s="172" t="s">
        <v>269</v>
      </c>
      <c r="D70" s="172" t="s">
        <v>270</v>
      </c>
      <c r="E70" s="172" t="s">
        <v>271</v>
      </c>
      <c r="F70" s="173" t="s">
        <v>272</v>
      </c>
      <c r="I70" s="171" t="s">
        <v>582</v>
      </c>
      <c r="J70" s="294" t="s">
        <v>268</v>
      </c>
      <c r="K70" s="294" t="s">
        <v>269</v>
      </c>
      <c r="L70" s="294" t="s">
        <v>270</v>
      </c>
      <c r="M70" s="294" t="s">
        <v>271</v>
      </c>
      <c r="N70" s="295" t="s">
        <v>272</v>
      </c>
      <c r="P70" s="171" t="s">
        <v>611</v>
      </c>
      <c r="Q70" s="294" t="s">
        <v>268</v>
      </c>
      <c r="R70" s="294" t="s">
        <v>269</v>
      </c>
      <c r="S70" s="294" t="s">
        <v>270</v>
      </c>
      <c r="T70" s="294" t="s">
        <v>271</v>
      </c>
      <c r="U70" s="295" t="s">
        <v>272</v>
      </c>
    </row>
    <row r="71" spans="1:21" ht="15">
      <c r="A71" s="298" t="s">
        <v>206</v>
      </c>
      <c r="B71" s="320">
        <f>(B4*2-J4-B11)/(B4*2+J4+B11)</f>
        <v>-0.51807228915662651</v>
      </c>
      <c r="C71" s="321">
        <f t="shared" ref="C71:F71" si="48">(C4*2-K4-C11)/(C4*2+K4+C11)</f>
        <v>-0.14606741573033707</v>
      </c>
      <c r="D71" s="321">
        <f t="shared" si="48"/>
        <v>-0.3707865168539326</v>
      </c>
      <c r="E71" s="321">
        <f t="shared" si="48"/>
        <v>-0.66666666666666663</v>
      </c>
      <c r="F71" s="322">
        <f t="shared" si="48"/>
        <v>-0.39240506329113922</v>
      </c>
      <c r="I71" s="296" t="s">
        <v>206</v>
      </c>
      <c r="J71" s="338">
        <v>-0.51807228915662651</v>
      </c>
      <c r="K71" s="332">
        <v>-0.14606741573033707</v>
      </c>
      <c r="L71" s="332">
        <v>-0.3707865168539326</v>
      </c>
      <c r="M71" s="332">
        <v>-0.66666666666666663</v>
      </c>
      <c r="N71" s="333">
        <v>-0.39240506329113922</v>
      </c>
      <c r="P71" s="296" t="s">
        <v>206</v>
      </c>
      <c r="Q71" s="338">
        <v>0.4349775784753363</v>
      </c>
      <c r="R71" s="332">
        <v>0.71267605633802822</v>
      </c>
      <c r="S71" s="332">
        <v>0.57192982456140351</v>
      </c>
      <c r="T71" s="332">
        <v>0.23076923076923078</v>
      </c>
      <c r="U71" s="333">
        <v>0.55465587044534415</v>
      </c>
    </row>
    <row r="72" spans="1:21" ht="15">
      <c r="A72" s="298" t="s">
        <v>207</v>
      </c>
      <c r="B72" s="323">
        <f t="shared" ref="B72:F72" si="49">(B5*2-J5-B12)/(B5*2+J5+B12)</f>
        <v>-0.12</v>
      </c>
      <c r="C72" s="324">
        <f t="shared" si="49"/>
        <v>-0.5</v>
      </c>
      <c r="D72" s="324">
        <f t="shared" si="49"/>
        <v>-0.2857142857142857</v>
      </c>
      <c r="E72" s="324">
        <f t="shared" si="49"/>
        <v>-1</v>
      </c>
      <c r="F72" s="325">
        <f t="shared" si="49"/>
        <v>-0.91304347826086951</v>
      </c>
      <c r="I72" s="296" t="s">
        <v>207</v>
      </c>
      <c r="J72" s="339">
        <v>-0.12</v>
      </c>
      <c r="K72" s="334">
        <v>-0.5</v>
      </c>
      <c r="L72" s="334">
        <v>-0.2857142857142857</v>
      </c>
      <c r="M72" s="334">
        <v>-1</v>
      </c>
      <c r="N72" s="335">
        <v>-0.91304347826086951</v>
      </c>
      <c r="P72" s="296" t="s">
        <v>207</v>
      </c>
      <c r="Q72" s="339">
        <v>0.72549019607843135</v>
      </c>
      <c r="R72" s="334">
        <v>0.45454545454545453</v>
      </c>
      <c r="S72" s="334">
        <v>0.63265306122448983</v>
      </c>
      <c r="T72" s="334">
        <v>-1</v>
      </c>
      <c r="U72" s="335">
        <v>-0.46666666666666667</v>
      </c>
    </row>
    <row r="73" spans="1:21" ht="15">
      <c r="A73" s="298" t="s">
        <v>208</v>
      </c>
      <c r="B73" s="323">
        <f t="shared" ref="B73:F73" si="50">(B6*2-J6-B13)/(B6*2+J6+B13)</f>
        <v>-1</v>
      </c>
      <c r="C73" s="324">
        <f t="shared" si="50"/>
        <v>-1</v>
      </c>
      <c r="D73" s="324">
        <f t="shared" si="50"/>
        <v>-0.90243902439024393</v>
      </c>
      <c r="E73" s="324">
        <f t="shared" si="50"/>
        <v>0.33333333333333331</v>
      </c>
      <c r="F73" s="325">
        <f t="shared" si="50"/>
        <v>-0.87096774193548387</v>
      </c>
      <c r="I73" s="296" t="s">
        <v>208</v>
      </c>
      <c r="J73" s="339">
        <v>-1</v>
      </c>
      <c r="K73" s="334">
        <v>-1</v>
      </c>
      <c r="L73" s="334">
        <v>-0.90243902439024393</v>
      </c>
      <c r="M73" s="334">
        <v>0.33333333333333331</v>
      </c>
      <c r="N73" s="335">
        <v>-0.87096774193548387</v>
      </c>
      <c r="P73" s="296" t="s">
        <v>208</v>
      </c>
      <c r="Q73" s="339">
        <v>-1</v>
      </c>
      <c r="R73" s="334">
        <v>-1</v>
      </c>
      <c r="S73" s="334">
        <v>-0.41818181818181815</v>
      </c>
      <c r="T73" s="334">
        <v>0.88235294117647056</v>
      </c>
      <c r="U73" s="335">
        <v>-0.28888888888888886</v>
      </c>
    </row>
    <row r="74" spans="1:21" ht="15">
      <c r="A74" s="299" t="s">
        <v>209</v>
      </c>
      <c r="B74" s="326">
        <f t="shared" ref="B74:F74" si="51">(B7*2-J7-B14)/(B7*2+J7+B14)</f>
        <v>-1</v>
      </c>
      <c r="C74" s="327">
        <f t="shared" si="51"/>
        <v>-0.88888888888888884</v>
      </c>
      <c r="D74" s="327">
        <f t="shared" si="51"/>
        <v>-0.77777777777777779</v>
      </c>
      <c r="E74" s="327">
        <f t="shared" si="51"/>
        <v>-0.61290322580645162</v>
      </c>
      <c r="F74" s="328">
        <f t="shared" si="51"/>
        <v>-0.53846153846153844</v>
      </c>
      <c r="I74" s="297" t="s">
        <v>209</v>
      </c>
      <c r="J74" s="340">
        <v>-1</v>
      </c>
      <c r="K74" s="336">
        <v>-0.88888888888888884</v>
      </c>
      <c r="L74" s="336">
        <v>-0.77777777777777779</v>
      </c>
      <c r="M74" s="336">
        <v>-0.61290322580645162</v>
      </c>
      <c r="N74" s="337">
        <v>-0.53846153846153844</v>
      </c>
      <c r="P74" s="297" t="s">
        <v>209</v>
      </c>
      <c r="Q74" s="340">
        <v>-1</v>
      </c>
      <c r="R74" s="336">
        <v>-0.36</v>
      </c>
      <c r="S74" s="336">
        <v>0</v>
      </c>
      <c r="T74" s="336">
        <v>0.31506849315068491</v>
      </c>
      <c r="U74" s="337">
        <v>0.41176470588235292</v>
      </c>
    </row>
  </sheetData>
  <phoneticPr fontId="2"/>
  <conditionalFormatting sqref="B4:F7">
    <cfRule type="dataBar" priority="3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{78BCB727-7BEA-40E6-B06F-1E0781C448E9}</x14:id>
        </ext>
      </extLst>
    </cfRule>
  </conditionalFormatting>
  <conditionalFormatting sqref="B4:F7">
    <cfRule type="dataBar" priority="3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{51CA3E93-10A9-4ABD-8C18-1CE855BD588A}</x14:id>
        </ext>
      </extLst>
    </cfRule>
  </conditionalFormatting>
  <conditionalFormatting sqref="B11:F14">
    <cfRule type="dataBar" priority="2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{480E9441-FF8C-4AFD-ADF6-D79BB2D4C238}</x14:id>
        </ext>
      </extLst>
    </cfRule>
  </conditionalFormatting>
  <conditionalFormatting sqref="B11:F14">
    <cfRule type="dataBar" priority="2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{1006757B-5AFE-4EBA-AC3A-2BAE0C8FBDC2}</x14:id>
        </ext>
      </extLst>
    </cfRule>
  </conditionalFormatting>
  <conditionalFormatting sqref="B17:F20">
    <cfRule type="dataBar" priority="2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{B20E2F32-3EF2-4366-9D2B-2E81CD942125}</x14:id>
        </ext>
      </extLst>
    </cfRule>
  </conditionalFormatting>
  <conditionalFormatting sqref="B17:F20">
    <cfRule type="dataBar" priority="2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{EA69500F-6C2A-47E4-B04B-EDCE1DD15FB4}</x14:id>
        </ext>
      </extLst>
    </cfRule>
  </conditionalFormatting>
  <conditionalFormatting sqref="B23:F26">
    <cfRule type="dataBar" priority="2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{C649361C-1E0A-4702-874C-BA297B18AB0D}</x14:id>
        </ext>
      </extLst>
    </cfRule>
  </conditionalFormatting>
  <conditionalFormatting sqref="B23:F26">
    <cfRule type="dataBar" priority="2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{7E2D754F-F3AA-4101-BFCA-DF0DA66A1096}</x14:id>
        </ext>
      </extLst>
    </cfRule>
  </conditionalFormatting>
  <conditionalFormatting sqref="J4:N7">
    <cfRule type="dataBar" priority="1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{3900506A-EA6A-4A15-9E08-98D3752D1A9F}</x14:id>
        </ext>
      </extLst>
    </cfRule>
  </conditionalFormatting>
  <conditionalFormatting sqref="J4:N7">
    <cfRule type="dataBar" priority="2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{808AC9DB-C8B7-4D5F-A9AE-01C7B67E0B7A}</x14:id>
        </ext>
      </extLst>
    </cfRule>
  </conditionalFormatting>
  <conditionalFormatting sqref="J11:N14">
    <cfRule type="dataBar" priority="1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{7F9A3448-EFF9-48A5-80E4-354DE3E686F5}</x14:id>
        </ext>
      </extLst>
    </cfRule>
  </conditionalFormatting>
  <conditionalFormatting sqref="J11:N14">
    <cfRule type="dataBar" priority="1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{F899B3A4-3796-4566-A07B-48F5993A3DB1}</x14:id>
        </ext>
      </extLst>
    </cfRule>
  </conditionalFormatting>
  <conditionalFormatting sqref="B29:F32">
    <cfRule type="dataBar" priority="1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{C8612A2A-C3D9-4160-B398-062240796091}</x14:id>
        </ext>
      </extLst>
    </cfRule>
  </conditionalFormatting>
  <conditionalFormatting sqref="B29:F32">
    <cfRule type="dataBar" priority="1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{B50542CC-E22B-4786-8C17-F524AA981AA4}</x14:id>
        </ext>
      </extLst>
    </cfRule>
  </conditionalFormatting>
  <conditionalFormatting sqref="B35:F38">
    <cfRule type="dataBar" priority="1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{959887C4-5DAE-4F22-A633-DB8B885DB8FA}</x14:id>
        </ext>
      </extLst>
    </cfRule>
  </conditionalFormatting>
  <conditionalFormatting sqref="B35:F38">
    <cfRule type="dataBar" priority="1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{793ED7A3-8391-4256-8AF6-78AFB64CBDFB}</x14:id>
        </ext>
      </extLst>
    </cfRule>
  </conditionalFormatting>
  <conditionalFormatting sqref="B41:F44">
    <cfRule type="dataBar" priority="1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{8238A3C8-72F8-4A46-B20D-15AE5149B221}</x14:id>
        </ext>
      </extLst>
    </cfRule>
  </conditionalFormatting>
  <conditionalFormatting sqref="B41:F44">
    <cfRule type="dataBar" priority="1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{71755B92-40B8-4583-8098-11AE6A9FBB9C}</x14:id>
        </ext>
      </extLst>
    </cfRule>
  </conditionalFormatting>
  <conditionalFormatting sqref="B47:F50">
    <cfRule type="dataBar" priority="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{2195811B-A4DF-4A5A-A67F-62A19E51BDE6}</x14:id>
        </ext>
      </extLst>
    </cfRule>
  </conditionalFormatting>
  <conditionalFormatting sqref="B47:F50">
    <cfRule type="dataBar" priority="1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{135CD1E2-6BAF-4816-8EB0-5FCA3F2077B3}</x14:id>
        </ext>
      </extLst>
    </cfRule>
  </conditionalFormatting>
  <conditionalFormatting sqref="B53:F56">
    <cfRule type="dataBar" priority="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{B33FAEE3-C426-403F-89C2-EB87623CF0CF}</x14:id>
        </ext>
      </extLst>
    </cfRule>
  </conditionalFormatting>
  <conditionalFormatting sqref="B53:F56">
    <cfRule type="dataBar" priority="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{BA4B331A-0546-4AAE-9273-160F8A076C2A}</x14:id>
        </ext>
      </extLst>
    </cfRule>
  </conditionalFormatting>
  <conditionalFormatting sqref="B59:F62">
    <cfRule type="dataBar" priority="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{4126F2AE-CBA7-41F7-AD58-A5DBA3E5DC4F}</x14:id>
        </ext>
      </extLst>
    </cfRule>
  </conditionalFormatting>
  <conditionalFormatting sqref="B59:F62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{61EF827F-8492-4958-A38C-CCC41451D498}</x14:id>
        </ext>
      </extLst>
    </cfRule>
  </conditionalFormatting>
  <conditionalFormatting sqref="B65:F68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{F7AC2BF5-0724-45F1-8D71-4EF5AB4A446B}</x14:id>
        </ext>
      </extLst>
    </cfRule>
  </conditionalFormatting>
  <conditionalFormatting sqref="B65:F68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{2559E41F-4558-45B8-9C5E-945D2DFF1116}</x14:id>
        </ext>
      </extLst>
    </cfRule>
  </conditionalFormatting>
  <conditionalFormatting sqref="B71:F74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{515EABFB-4D51-4234-AF6C-3EB387980A88}</x14:id>
        </ext>
      </extLst>
    </cfRule>
  </conditionalFormatting>
  <conditionalFormatting sqref="B71:F7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{4F97F73E-F93F-47CE-A118-3BEF05EB4876}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BCB727-7BEA-40E6-B06F-1E0781C448E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51CA3E93-10A9-4ABD-8C18-1CE855BD58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480E9441-FF8C-4AFD-ADF6-D79BB2D4C23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B11:F14</xm:sqref>
        </x14:conditionalFormatting>
        <x14:conditionalFormatting xmlns:xm="http://schemas.microsoft.com/office/excel/2006/main">
          <x14:cfRule type="dataBar" id="{1006757B-5AFE-4EBA-AC3A-2BAE0C8FBD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B11:F14</xm:sqref>
        </x14:conditionalFormatting>
        <x14:conditionalFormatting xmlns:xm="http://schemas.microsoft.com/office/excel/2006/main">
          <x14:cfRule type="dataBar" id="{B20E2F32-3EF2-4366-9D2B-2E81CD94212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B17:F20</xm:sqref>
        </x14:conditionalFormatting>
        <x14:conditionalFormatting xmlns:xm="http://schemas.microsoft.com/office/excel/2006/main">
          <x14:cfRule type="dataBar" id="{EA69500F-6C2A-47E4-B04B-EDCE1DD15F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B17:F20</xm:sqref>
        </x14:conditionalFormatting>
        <x14:conditionalFormatting xmlns:xm="http://schemas.microsoft.com/office/excel/2006/main">
          <x14:cfRule type="dataBar" id="{C649361C-1E0A-4702-874C-BA297B18AB0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B23:F26</xm:sqref>
        </x14:conditionalFormatting>
        <x14:conditionalFormatting xmlns:xm="http://schemas.microsoft.com/office/excel/2006/main">
          <x14:cfRule type="dataBar" id="{7E2D754F-F3AA-4101-BFCA-DF0DA66A10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B23:F26</xm:sqref>
        </x14:conditionalFormatting>
        <x14:conditionalFormatting xmlns:xm="http://schemas.microsoft.com/office/excel/2006/main">
          <x14:cfRule type="dataBar" id="{3900506A-EA6A-4A15-9E08-98D3752D1A9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J4:N7</xm:sqref>
        </x14:conditionalFormatting>
        <x14:conditionalFormatting xmlns:xm="http://schemas.microsoft.com/office/excel/2006/main">
          <x14:cfRule type="dataBar" id="{808AC9DB-C8B7-4D5F-A9AE-01C7B67E0B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J4:N7</xm:sqref>
        </x14:conditionalFormatting>
        <x14:conditionalFormatting xmlns:xm="http://schemas.microsoft.com/office/excel/2006/main">
          <x14:cfRule type="dataBar" id="{7F9A3448-EFF9-48A5-80E4-354DE3E686F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J11:N14</xm:sqref>
        </x14:conditionalFormatting>
        <x14:conditionalFormatting xmlns:xm="http://schemas.microsoft.com/office/excel/2006/main">
          <x14:cfRule type="dataBar" id="{F899B3A4-3796-4566-A07B-48F5993A3D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J11:N14</xm:sqref>
        </x14:conditionalFormatting>
        <x14:conditionalFormatting xmlns:xm="http://schemas.microsoft.com/office/excel/2006/main">
          <x14:cfRule type="dataBar" id="{C8612A2A-C3D9-4160-B398-06224079609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B29:F32</xm:sqref>
        </x14:conditionalFormatting>
        <x14:conditionalFormatting xmlns:xm="http://schemas.microsoft.com/office/excel/2006/main">
          <x14:cfRule type="dataBar" id="{B50542CC-E22B-4786-8C17-F524AA981A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B29:F32</xm:sqref>
        </x14:conditionalFormatting>
        <x14:conditionalFormatting xmlns:xm="http://schemas.microsoft.com/office/excel/2006/main">
          <x14:cfRule type="dataBar" id="{959887C4-5DAE-4F22-A633-DB8B885DB8F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B35:F38</xm:sqref>
        </x14:conditionalFormatting>
        <x14:conditionalFormatting xmlns:xm="http://schemas.microsoft.com/office/excel/2006/main">
          <x14:cfRule type="dataBar" id="{793ED7A3-8391-4256-8AF6-78AFB64CBD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B35:F38</xm:sqref>
        </x14:conditionalFormatting>
        <x14:conditionalFormatting xmlns:xm="http://schemas.microsoft.com/office/excel/2006/main">
          <x14:cfRule type="dataBar" id="{8238A3C8-72F8-4A46-B20D-15AE5149B22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B41:F44</xm:sqref>
        </x14:conditionalFormatting>
        <x14:conditionalFormatting xmlns:xm="http://schemas.microsoft.com/office/excel/2006/main">
          <x14:cfRule type="dataBar" id="{71755B92-40B8-4583-8098-11AE6A9FBB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B41:F44</xm:sqref>
        </x14:conditionalFormatting>
        <x14:conditionalFormatting xmlns:xm="http://schemas.microsoft.com/office/excel/2006/main">
          <x14:cfRule type="dataBar" id="{2195811B-A4DF-4A5A-A67F-62A19E51BDE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B47:F50</xm:sqref>
        </x14:conditionalFormatting>
        <x14:conditionalFormatting xmlns:xm="http://schemas.microsoft.com/office/excel/2006/main">
          <x14:cfRule type="dataBar" id="{135CD1E2-6BAF-4816-8EB0-5FCA3F2077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B47:F50</xm:sqref>
        </x14:conditionalFormatting>
        <x14:conditionalFormatting xmlns:xm="http://schemas.microsoft.com/office/excel/2006/main">
          <x14:cfRule type="dataBar" id="{B33FAEE3-C426-403F-89C2-EB87623CF0C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B53:F56</xm:sqref>
        </x14:conditionalFormatting>
        <x14:conditionalFormatting xmlns:xm="http://schemas.microsoft.com/office/excel/2006/main">
          <x14:cfRule type="dataBar" id="{BA4B331A-0546-4AAE-9273-160F8A076C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B53:F56</xm:sqref>
        </x14:conditionalFormatting>
        <x14:conditionalFormatting xmlns:xm="http://schemas.microsoft.com/office/excel/2006/main">
          <x14:cfRule type="dataBar" id="{4126F2AE-CBA7-41F7-AD58-A5DBA3E5DC4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B59:F62</xm:sqref>
        </x14:conditionalFormatting>
        <x14:conditionalFormatting xmlns:xm="http://schemas.microsoft.com/office/excel/2006/main">
          <x14:cfRule type="dataBar" id="{61EF827F-8492-4958-A38C-CCC41451D4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B59:F62</xm:sqref>
        </x14:conditionalFormatting>
        <x14:conditionalFormatting xmlns:xm="http://schemas.microsoft.com/office/excel/2006/main">
          <x14:cfRule type="dataBar" id="{F7AC2BF5-0724-45F1-8D71-4EF5AB4A446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B65:F68</xm:sqref>
        </x14:conditionalFormatting>
        <x14:conditionalFormatting xmlns:xm="http://schemas.microsoft.com/office/excel/2006/main">
          <x14:cfRule type="dataBar" id="{2559E41F-4558-45B8-9C5E-945D2DFF11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B65:F68</xm:sqref>
        </x14:conditionalFormatting>
        <x14:conditionalFormatting xmlns:xm="http://schemas.microsoft.com/office/excel/2006/main">
          <x14:cfRule type="dataBar" id="{515EABFB-4D51-4234-AF6C-3EB387980A8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B71:F74</xm:sqref>
        </x14:conditionalFormatting>
        <x14:conditionalFormatting xmlns:xm="http://schemas.microsoft.com/office/excel/2006/main">
          <x14:cfRule type="dataBar" id="{4F97F73E-F93F-47CE-A118-3BEF05EB48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B71:F74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51"/>
  <sheetViews>
    <sheetView workbookViewId="0">
      <selection sqref="A1:R1048576"/>
    </sheetView>
  </sheetViews>
  <sheetFormatPr defaultRowHeight="15.75"/>
  <cols>
    <col min="1" max="1" width="11.375" style="3" customWidth="1"/>
    <col min="2" max="3" width="12.25" style="3" customWidth="1"/>
    <col min="4" max="5" width="9.125" style="3" bestFit="1" customWidth="1"/>
    <col min="6" max="6" width="9.125" style="6" bestFit="1" customWidth="1"/>
    <col min="7" max="18" width="9" style="83"/>
  </cols>
  <sheetData>
    <row r="1" spans="1:6">
      <c r="A1" s="210" t="s">
        <v>0</v>
      </c>
      <c r="B1" s="83" t="s">
        <v>1</v>
      </c>
      <c r="C1" s="83" t="s">
        <v>2</v>
      </c>
      <c r="D1" s="1" t="s">
        <v>8</v>
      </c>
      <c r="E1" s="1" t="s">
        <v>9</v>
      </c>
      <c r="F1" s="2" t="s">
        <v>10</v>
      </c>
    </row>
    <row r="2" spans="1:6">
      <c r="A2" s="210" t="s">
        <v>5</v>
      </c>
      <c r="B2" s="83">
        <v>151</v>
      </c>
      <c r="C2" s="83">
        <v>163</v>
      </c>
      <c r="D2" s="103">
        <f>(B2-B$8)/B$9</f>
        <v>0.67421809368949881</v>
      </c>
      <c r="E2" s="103">
        <f>(C2-C$8)/C$9</f>
        <v>0.92217770027661461</v>
      </c>
      <c r="F2" s="103">
        <f>D2*E2</f>
        <v>0.6217488911234651</v>
      </c>
    </row>
    <row r="3" spans="1:6">
      <c r="A3" s="210" t="s">
        <v>210</v>
      </c>
      <c r="B3" s="83">
        <v>38</v>
      </c>
      <c r="C3" s="83">
        <v>45</v>
      </c>
      <c r="D3" s="103">
        <f t="shared" ref="D3:E6" si="0">(B3-B$8)/B$9</f>
        <v>-1.1839927498937539</v>
      </c>
      <c r="E3" s="103">
        <f t="shared" si="0"/>
        <v>-0.98021685623807975</v>
      </c>
      <c r="F3" s="103">
        <f>D3*E3</f>
        <v>1.1605696511095345</v>
      </c>
    </row>
    <row r="4" spans="1:6">
      <c r="A4" s="210" t="s">
        <v>211</v>
      </c>
      <c r="B4" s="83">
        <v>202</v>
      </c>
      <c r="C4" s="83">
        <v>195</v>
      </c>
      <c r="D4" s="103">
        <f t="shared" si="0"/>
        <v>1.5128796248642411</v>
      </c>
      <c r="E4" s="103">
        <f>(C4-C$8)/C$9</f>
        <v>1.4380813088229725</v>
      </c>
      <c r="F4" s="103">
        <f>D4*E4</f>
        <v>2.1756439110163757</v>
      </c>
    </row>
    <row r="5" spans="1:6">
      <c r="A5" s="210" t="s">
        <v>212</v>
      </c>
      <c r="B5" s="83">
        <v>105</v>
      </c>
      <c r="C5" s="83">
        <v>81</v>
      </c>
      <c r="D5" s="103">
        <f t="shared" si="0"/>
        <v>-8.222171874262181E-2</v>
      </c>
      <c r="E5" s="103">
        <f t="shared" si="0"/>
        <v>-0.39982529662342725</v>
      </c>
      <c r="F5" s="103">
        <f>D5*E5</f>
        <v>3.2874323085156774E-2</v>
      </c>
    </row>
    <row r="6" spans="1:6">
      <c r="A6" s="210" t="s">
        <v>213</v>
      </c>
      <c r="B6" s="83">
        <v>54</v>
      </c>
      <c r="C6" s="83">
        <v>45</v>
      </c>
      <c r="D6" s="103">
        <f t="shared" si="0"/>
        <v>-0.92088324991736425</v>
      </c>
      <c r="E6" s="103">
        <f t="shared" si="0"/>
        <v>-0.98021685623807975</v>
      </c>
      <c r="F6" s="103">
        <f>D6*E6</f>
        <v>0.90266528419630465</v>
      </c>
    </row>
    <row r="7" spans="1:6">
      <c r="A7" s="7" t="s">
        <v>11</v>
      </c>
      <c r="B7" s="4">
        <f t="shared" ref="B7:F7" si="1">SUM(B2:B6)</f>
        <v>550</v>
      </c>
      <c r="C7" s="4">
        <f t="shared" si="1"/>
        <v>529</v>
      </c>
      <c r="D7" s="103">
        <f t="shared" si="1"/>
        <v>0</v>
      </c>
      <c r="E7" s="103">
        <f t="shared" si="1"/>
        <v>0</v>
      </c>
      <c r="F7" s="103">
        <f t="shared" si="1"/>
        <v>4.893502060530837</v>
      </c>
    </row>
    <row r="8" spans="1:6">
      <c r="A8" s="7" t="s">
        <v>12</v>
      </c>
      <c r="B8" s="5">
        <f t="shared" ref="B8:F8" si="2">AVERAGE(B2:B6)</f>
        <v>110</v>
      </c>
      <c r="C8" s="5">
        <f t="shared" si="2"/>
        <v>105.8</v>
      </c>
      <c r="D8" s="103">
        <f t="shared" si="2"/>
        <v>0</v>
      </c>
      <c r="E8" s="103">
        <f t="shared" si="2"/>
        <v>0</v>
      </c>
      <c r="F8" s="103">
        <f t="shared" si="2"/>
        <v>0.97870041210616743</v>
      </c>
    </row>
    <row r="9" spans="1:6">
      <c r="A9" s="7" t="s">
        <v>13</v>
      </c>
      <c r="B9" s="5">
        <f t="shared" ref="B9:E9" si="3">STDEVP(B2:B6)</f>
        <v>60.811183182043088</v>
      </c>
      <c r="C9" s="5">
        <f t="shared" si="3"/>
        <v>62.027090855528606</v>
      </c>
      <c r="D9" s="103">
        <f t="shared" si="3"/>
        <v>1</v>
      </c>
      <c r="E9" s="103">
        <f t="shared" si="3"/>
        <v>0.99999999999999978</v>
      </c>
      <c r="F9" s="103"/>
    </row>
    <row r="10" spans="1:6">
      <c r="A10" s="7" t="s">
        <v>14</v>
      </c>
      <c r="B10" s="8">
        <f>CORREL(B2:B6,C2:C6)</f>
        <v>0.97870041210616743</v>
      </c>
    </row>
    <row r="12" spans="1:6">
      <c r="A12" s="7" t="s">
        <v>15</v>
      </c>
    </row>
    <row r="13" spans="1:6">
      <c r="A13" s="1" t="s">
        <v>16</v>
      </c>
      <c r="B13" s="1" t="s">
        <v>6</v>
      </c>
      <c r="C13" s="1" t="s">
        <v>7</v>
      </c>
      <c r="D13" s="1" t="s">
        <v>17</v>
      </c>
      <c r="E13" s="1" t="s">
        <v>18</v>
      </c>
      <c r="F13" s="2" t="s">
        <v>10</v>
      </c>
    </row>
    <row r="14" spans="1:6" ht="30.75" customHeight="1">
      <c r="A14" s="3" t="s">
        <v>19</v>
      </c>
      <c r="B14" s="4">
        <v>5</v>
      </c>
      <c r="C14" s="4">
        <v>0</v>
      </c>
      <c r="D14" s="103">
        <f t="shared" ref="D14:E18" si="4">(B14-B$20)/B$21</f>
        <v>-0.49150507609819966</v>
      </c>
      <c r="E14" s="103">
        <f t="shared" si="4"/>
        <v>-0.88043478260869568</v>
      </c>
      <c r="F14" s="103">
        <f>D14*E14</f>
        <v>0.43273816482558886</v>
      </c>
    </row>
    <row r="15" spans="1:6" ht="30.75" customHeight="1">
      <c r="A15" s="3" t="s">
        <v>20</v>
      </c>
      <c r="B15" s="4">
        <v>48</v>
      </c>
      <c r="C15" s="4">
        <v>50</v>
      </c>
      <c r="D15" s="103">
        <f t="shared" si="4"/>
        <v>1.9101674548361849</v>
      </c>
      <c r="E15" s="103">
        <f t="shared" si="4"/>
        <v>1.8369565217391304</v>
      </c>
      <c r="F15" s="103">
        <f>D15*E15</f>
        <v>3.5088945637751654</v>
      </c>
    </row>
    <row r="16" spans="1:6" ht="30.75" customHeight="1">
      <c r="A16" s="3" t="s">
        <v>21</v>
      </c>
      <c r="B16" s="4">
        <v>0</v>
      </c>
      <c r="C16" s="4">
        <v>19</v>
      </c>
      <c r="D16" s="103">
        <f t="shared" si="4"/>
        <v>-0.77076932388126762</v>
      </c>
      <c r="E16" s="103">
        <f t="shared" si="4"/>
        <v>0.1521739130434783</v>
      </c>
      <c r="F16" s="103">
        <f>D16*E16</f>
        <v>-0.11729098406888858</v>
      </c>
    </row>
    <row r="17" spans="1:6" ht="30.75" customHeight="1">
      <c r="A17" s="3" t="s">
        <v>22</v>
      </c>
      <c r="B17" s="4">
        <v>1</v>
      </c>
      <c r="C17" s="4">
        <v>0</v>
      </c>
      <c r="D17" s="103">
        <f t="shared" si="4"/>
        <v>-0.71491647432465399</v>
      </c>
      <c r="E17" s="103">
        <f t="shared" si="4"/>
        <v>-0.88043478260869568</v>
      </c>
      <c r="F17" s="103">
        <f>D17*E17</f>
        <v>0.62943733065540186</v>
      </c>
    </row>
    <row r="18" spans="1:6" ht="30.75" customHeight="1">
      <c r="A18" s="3" t="s">
        <v>23</v>
      </c>
      <c r="B18" s="4">
        <v>15</v>
      </c>
      <c r="C18" s="4">
        <v>12</v>
      </c>
      <c r="D18" s="103">
        <f t="shared" si="4"/>
        <v>6.7023419467936274E-2</v>
      </c>
      <c r="E18" s="103">
        <f t="shared" si="4"/>
        <v>-0.22826086956521738</v>
      </c>
      <c r="F18" s="103">
        <f>D18*E18</f>
        <v>-1.5298824008985452E-2</v>
      </c>
    </row>
    <row r="19" spans="1:6">
      <c r="A19" s="7" t="s">
        <v>24</v>
      </c>
      <c r="B19" s="4">
        <f t="shared" ref="B19:F19" si="5">SUM(B14:B18)</f>
        <v>69</v>
      </c>
      <c r="C19" s="4">
        <f t="shared" si="5"/>
        <v>81</v>
      </c>
      <c r="D19" s="103">
        <f t="shared" si="5"/>
        <v>0</v>
      </c>
      <c r="E19" s="103">
        <f t="shared" si="5"/>
        <v>0</v>
      </c>
      <c r="F19" s="103">
        <f t="shared" si="5"/>
        <v>4.4384802511782819</v>
      </c>
    </row>
    <row r="20" spans="1:6">
      <c r="A20" s="7" t="s">
        <v>25</v>
      </c>
      <c r="B20" s="5">
        <f t="shared" ref="B20:F20" si="6">AVERAGE(B14:B18)</f>
        <v>13.8</v>
      </c>
      <c r="C20" s="5">
        <f t="shared" si="6"/>
        <v>16.2</v>
      </c>
      <c r="D20" s="103">
        <f t="shared" si="6"/>
        <v>0</v>
      </c>
      <c r="E20" s="103">
        <f t="shared" si="6"/>
        <v>0</v>
      </c>
      <c r="F20" s="103">
        <f t="shared" si="6"/>
        <v>0.88769605023565634</v>
      </c>
    </row>
    <row r="21" spans="1:6">
      <c r="A21" s="7" t="s">
        <v>26</v>
      </c>
      <c r="B21" s="5">
        <f t="shared" ref="B21:E21" si="7">STDEVP(B14:B18)</f>
        <v>17.904189453868053</v>
      </c>
      <c r="C21" s="5">
        <f t="shared" si="7"/>
        <v>18.399999999999999</v>
      </c>
      <c r="D21" s="103">
        <f t="shared" si="7"/>
        <v>1</v>
      </c>
      <c r="E21" s="103">
        <f t="shared" si="7"/>
        <v>1</v>
      </c>
      <c r="F21" s="103"/>
    </row>
    <row r="22" spans="1:6">
      <c r="A22" s="7" t="s">
        <v>27</v>
      </c>
      <c r="B22" s="8">
        <f>CORREL(B14:B18,C14:C18)</f>
        <v>0.88769605023565634</v>
      </c>
    </row>
    <row r="24" spans="1:6">
      <c r="A24" s="210" t="s">
        <v>0</v>
      </c>
      <c r="B24" s="83" t="s">
        <v>1</v>
      </c>
      <c r="C24" s="83" t="s">
        <v>2</v>
      </c>
      <c r="D24" s="83" t="s">
        <v>3</v>
      </c>
      <c r="E24" s="83" t="s">
        <v>4</v>
      </c>
      <c r="F24" s="83"/>
    </row>
    <row r="25" spans="1:6">
      <c r="A25" s="210" t="s">
        <v>5</v>
      </c>
      <c r="B25" s="83">
        <v>151</v>
      </c>
      <c r="C25" s="83">
        <v>163</v>
      </c>
      <c r="D25" s="83">
        <v>175</v>
      </c>
      <c r="E25" s="83">
        <v>121</v>
      </c>
      <c r="F25" s="83"/>
    </row>
    <row r="26" spans="1:6">
      <c r="A26" s="210" t="s">
        <v>210</v>
      </c>
      <c r="B26" s="83">
        <v>38</v>
      </c>
      <c r="C26" s="83">
        <v>45</v>
      </c>
      <c r="D26" s="83">
        <v>40</v>
      </c>
      <c r="E26" s="83">
        <v>27</v>
      </c>
      <c r="F26" s="83"/>
    </row>
    <row r="27" spans="1:6">
      <c r="A27" s="210" t="s">
        <v>211</v>
      </c>
      <c r="B27" s="83">
        <v>202</v>
      </c>
      <c r="C27" s="83">
        <v>195</v>
      </c>
      <c r="D27" s="83">
        <v>224</v>
      </c>
      <c r="E27" s="83">
        <v>172</v>
      </c>
      <c r="F27" s="83"/>
    </row>
    <row r="28" spans="1:6">
      <c r="A28" s="210" t="s">
        <v>212</v>
      </c>
      <c r="B28" s="83">
        <v>105</v>
      </c>
      <c r="C28" s="83">
        <v>81</v>
      </c>
      <c r="D28" s="83">
        <v>116</v>
      </c>
      <c r="E28" s="83">
        <v>69</v>
      </c>
      <c r="F28" s="83"/>
    </row>
    <row r="29" spans="1:6">
      <c r="A29" s="210" t="s">
        <v>213</v>
      </c>
      <c r="B29" s="83">
        <v>54</v>
      </c>
      <c r="C29" s="83">
        <v>45</v>
      </c>
      <c r="D29" s="83">
        <v>58</v>
      </c>
      <c r="E29" s="83">
        <v>37</v>
      </c>
      <c r="F29" s="83"/>
    </row>
    <row r="30" spans="1:6">
      <c r="A30" s="210"/>
      <c r="B30" s="83"/>
      <c r="C30" s="83"/>
      <c r="D30" s="83"/>
      <c r="E30" s="83"/>
      <c r="F30" s="83"/>
    </row>
    <row r="31" spans="1:6">
      <c r="A31" s="211" t="s">
        <v>214</v>
      </c>
      <c r="B31" s="83"/>
      <c r="C31" s="83"/>
      <c r="D31" s="83"/>
      <c r="E31" s="83"/>
      <c r="F31" s="83"/>
    </row>
    <row r="33" spans="1:9">
      <c r="A33" s="21" t="s">
        <v>79</v>
      </c>
      <c r="B33" s="22" t="s">
        <v>80</v>
      </c>
      <c r="C33" s="22" t="s">
        <v>81</v>
      </c>
      <c r="D33" s="22" t="s">
        <v>82</v>
      </c>
      <c r="E33" s="22" t="s">
        <v>83</v>
      </c>
      <c r="F33" s="22" t="s">
        <v>84</v>
      </c>
      <c r="G33" s="22" t="s">
        <v>85</v>
      </c>
      <c r="H33" s="22" t="s">
        <v>86</v>
      </c>
      <c r="I33" s="22" t="s">
        <v>87</v>
      </c>
    </row>
    <row r="34" spans="1:9">
      <c r="A34" s="21" t="s">
        <v>88</v>
      </c>
      <c r="B34" s="23">
        <v>5</v>
      </c>
      <c r="C34" s="23">
        <v>4</v>
      </c>
      <c r="D34" s="23">
        <v>10</v>
      </c>
      <c r="E34" s="23">
        <v>17</v>
      </c>
      <c r="F34" s="23">
        <v>3</v>
      </c>
      <c r="G34" s="23">
        <v>0</v>
      </c>
      <c r="H34" s="23">
        <v>1</v>
      </c>
      <c r="I34" s="23">
        <v>9</v>
      </c>
    </row>
    <row r="35" spans="1:9">
      <c r="A35" s="21" t="s">
        <v>89</v>
      </c>
      <c r="B35" s="23">
        <v>9</v>
      </c>
      <c r="C35" s="23">
        <v>5</v>
      </c>
      <c r="D35" s="23">
        <v>6</v>
      </c>
      <c r="E35" s="23">
        <v>12</v>
      </c>
      <c r="F35" s="23">
        <v>16</v>
      </c>
      <c r="G35" s="23">
        <v>18</v>
      </c>
      <c r="H35" s="23">
        <v>5</v>
      </c>
      <c r="I35" s="23">
        <v>5</v>
      </c>
    </row>
    <row r="36" spans="1:9">
      <c r="A36" s="21" t="s">
        <v>90</v>
      </c>
      <c r="B36" s="23">
        <v>0</v>
      </c>
      <c r="C36" s="23">
        <v>1</v>
      </c>
      <c r="D36" s="23">
        <v>0</v>
      </c>
      <c r="E36" s="23">
        <v>2</v>
      </c>
      <c r="F36" s="23">
        <v>2</v>
      </c>
      <c r="G36" s="23">
        <v>2</v>
      </c>
      <c r="H36" s="23">
        <v>1</v>
      </c>
      <c r="I36" s="23">
        <v>0</v>
      </c>
    </row>
    <row r="37" spans="1:9">
      <c r="A37" s="21" t="s">
        <v>91</v>
      </c>
      <c r="B37" s="23">
        <v>1</v>
      </c>
      <c r="C37" s="23">
        <v>1</v>
      </c>
      <c r="D37" s="23">
        <v>0</v>
      </c>
      <c r="E37" s="23">
        <v>3</v>
      </c>
      <c r="F37" s="23">
        <v>1</v>
      </c>
      <c r="G37" s="23">
        <v>4</v>
      </c>
      <c r="H37" s="23">
        <v>5</v>
      </c>
      <c r="I37" s="23">
        <v>0</v>
      </c>
    </row>
    <row r="38" spans="1:9" ht="30">
      <c r="A38" s="21" t="s">
        <v>92</v>
      </c>
      <c r="B38" s="23">
        <v>2</v>
      </c>
      <c r="C38" s="23">
        <v>2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</row>
    <row r="39" spans="1:9">
      <c r="A39" s="21" t="s">
        <v>93</v>
      </c>
      <c r="B39" s="23">
        <v>0</v>
      </c>
      <c r="C39" s="23">
        <v>0</v>
      </c>
      <c r="D39" s="23">
        <v>1</v>
      </c>
      <c r="E39" s="23">
        <v>5</v>
      </c>
      <c r="F39" s="23">
        <v>2</v>
      </c>
      <c r="G39" s="23">
        <v>4</v>
      </c>
      <c r="H39" s="23">
        <v>1</v>
      </c>
      <c r="I39" s="23">
        <v>0</v>
      </c>
    </row>
    <row r="40" spans="1:9">
      <c r="A40" s="21" t="s">
        <v>94</v>
      </c>
      <c r="B40" s="23">
        <v>2</v>
      </c>
      <c r="C40" s="23">
        <v>0</v>
      </c>
      <c r="D40" s="23">
        <v>3</v>
      </c>
      <c r="E40" s="23">
        <v>2</v>
      </c>
      <c r="F40" s="23">
        <v>4</v>
      </c>
      <c r="G40" s="23">
        <v>2</v>
      </c>
      <c r="H40" s="23">
        <v>1</v>
      </c>
      <c r="I40" s="23">
        <v>0</v>
      </c>
    </row>
    <row r="41" spans="1:9">
      <c r="A41" s="21" t="s">
        <v>95</v>
      </c>
      <c r="B41" s="23">
        <v>0</v>
      </c>
      <c r="C41" s="23">
        <v>0</v>
      </c>
      <c r="D41" s="23">
        <v>0</v>
      </c>
      <c r="E41" s="23">
        <v>2</v>
      </c>
      <c r="F41" s="23">
        <v>1</v>
      </c>
      <c r="G41" s="23">
        <v>1</v>
      </c>
      <c r="H41" s="23">
        <v>7</v>
      </c>
      <c r="I41" s="23">
        <v>0</v>
      </c>
    </row>
    <row r="42" spans="1:9">
      <c r="A42" s="21" t="s">
        <v>96</v>
      </c>
      <c r="B42" s="23">
        <v>0</v>
      </c>
      <c r="C42" s="23">
        <v>0</v>
      </c>
      <c r="D42" s="23">
        <v>0</v>
      </c>
      <c r="E42" s="23">
        <v>2</v>
      </c>
      <c r="F42" s="23">
        <v>3</v>
      </c>
      <c r="G42" s="23">
        <v>1</v>
      </c>
      <c r="H42" s="23">
        <v>2</v>
      </c>
      <c r="I42" s="23">
        <v>0</v>
      </c>
    </row>
    <row r="43" spans="1:9">
      <c r="A43" s="21" t="s">
        <v>97</v>
      </c>
      <c r="B43" s="23">
        <v>0</v>
      </c>
      <c r="C43" s="23">
        <v>1</v>
      </c>
      <c r="D43" s="23">
        <v>0</v>
      </c>
      <c r="E43" s="23">
        <v>2</v>
      </c>
      <c r="F43" s="23">
        <v>1</v>
      </c>
      <c r="G43" s="23">
        <v>1</v>
      </c>
      <c r="H43" s="23">
        <v>1</v>
      </c>
      <c r="I43" s="23">
        <v>0</v>
      </c>
    </row>
    <row r="44" spans="1:9">
      <c r="A44" s="21" t="s">
        <v>98</v>
      </c>
      <c r="B44" s="23">
        <v>3</v>
      </c>
      <c r="C44" s="23">
        <v>18</v>
      </c>
      <c r="D44" s="23">
        <v>6</v>
      </c>
      <c r="E44" s="23">
        <v>2</v>
      </c>
      <c r="F44" s="23">
        <v>4</v>
      </c>
      <c r="G44" s="23">
        <v>5</v>
      </c>
      <c r="H44" s="23">
        <v>1</v>
      </c>
      <c r="I44" s="23">
        <v>5</v>
      </c>
    </row>
    <row r="45" spans="1:9">
      <c r="A45" s="21" t="s">
        <v>99</v>
      </c>
      <c r="B45" s="23">
        <v>5</v>
      </c>
      <c r="C45" s="23">
        <v>12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1</v>
      </c>
    </row>
    <row r="46" spans="1:9">
      <c r="A46" s="21" t="s">
        <v>100</v>
      </c>
      <c r="B46" s="23">
        <v>0</v>
      </c>
      <c r="C46" s="23">
        <v>3</v>
      </c>
      <c r="D46" s="23">
        <v>0</v>
      </c>
      <c r="E46" s="23">
        <v>1</v>
      </c>
      <c r="F46" s="23">
        <v>1</v>
      </c>
      <c r="G46" s="23">
        <v>3</v>
      </c>
      <c r="H46" s="23">
        <v>7</v>
      </c>
      <c r="I46" s="23">
        <v>0</v>
      </c>
    </row>
    <row r="47" spans="1:9">
      <c r="A47" s="21" t="s">
        <v>101</v>
      </c>
      <c r="B47" s="23">
        <v>0</v>
      </c>
      <c r="C47" s="23">
        <v>3</v>
      </c>
      <c r="D47" s="23">
        <v>0</v>
      </c>
      <c r="E47" s="23">
        <v>2</v>
      </c>
      <c r="F47" s="23">
        <v>2</v>
      </c>
      <c r="G47" s="23">
        <v>3</v>
      </c>
      <c r="H47" s="23">
        <v>7</v>
      </c>
      <c r="I47" s="23">
        <v>0</v>
      </c>
    </row>
    <row r="48" spans="1:9">
      <c r="A48" s="21" t="s">
        <v>102</v>
      </c>
      <c r="B48" s="23">
        <v>0</v>
      </c>
      <c r="C48" s="23">
        <v>0</v>
      </c>
      <c r="D48" s="23">
        <v>6</v>
      </c>
      <c r="E48" s="23">
        <v>2</v>
      </c>
      <c r="F48" s="23">
        <v>0</v>
      </c>
      <c r="G48" s="23">
        <v>1</v>
      </c>
      <c r="H48" s="23">
        <v>0</v>
      </c>
      <c r="I48" s="23">
        <v>0</v>
      </c>
    </row>
    <row r="49" spans="1:9">
      <c r="A49" s="21" t="s">
        <v>103</v>
      </c>
      <c r="B49" s="23">
        <v>31</v>
      </c>
      <c r="C49" s="23">
        <v>3</v>
      </c>
      <c r="D49" s="23">
        <v>7</v>
      </c>
      <c r="E49" s="23">
        <v>8</v>
      </c>
      <c r="F49" s="23">
        <v>1</v>
      </c>
      <c r="G49" s="23">
        <v>0</v>
      </c>
      <c r="H49" s="23">
        <v>3</v>
      </c>
      <c r="I49" s="23">
        <v>2</v>
      </c>
    </row>
    <row r="50" spans="1:9">
      <c r="A50" s="21" t="s">
        <v>104</v>
      </c>
      <c r="B50" s="23">
        <v>208</v>
      </c>
      <c r="C50" s="23">
        <v>0</v>
      </c>
      <c r="D50" s="23">
        <v>3</v>
      </c>
      <c r="E50" s="23">
        <v>5</v>
      </c>
      <c r="F50" s="23">
        <v>1</v>
      </c>
      <c r="G50" s="23">
        <v>1</v>
      </c>
      <c r="H50" s="23">
        <v>0</v>
      </c>
      <c r="I50" s="23">
        <v>0</v>
      </c>
    </row>
    <row r="51" spans="1:9">
      <c r="A51" s="21" t="s">
        <v>105</v>
      </c>
      <c r="B51" s="23">
        <v>1</v>
      </c>
      <c r="C51" s="23"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1</v>
      </c>
    </row>
    <row r="52" spans="1:9">
      <c r="A52" s="21" t="s">
        <v>106</v>
      </c>
      <c r="B52" s="23">
        <v>7</v>
      </c>
      <c r="C52" s="23">
        <v>2</v>
      </c>
      <c r="D52" s="23">
        <v>9</v>
      </c>
      <c r="E52" s="23">
        <v>4</v>
      </c>
      <c r="F52" s="23">
        <v>0</v>
      </c>
      <c r="G52" s="23">
        <v>0</v>
      </c>
      <c r="H52" s="23">
        <v>1</v>
      </c>
      <c r="I52" s="23">
        <v>6</v>
      </c>
    </row>
    <row r="53" spans="1:9">
      <c r="A53" s="21" t="s">
        <v>107</v>
      </c>
      <c r="B53" s="23">
        <v>20</v>
      </c>
      <c r="C53" s="23">
        <v>26</v>
      </c>
      <c r="D53" s="23">
        <v>2</v>
      </c>
      <c r="E53" s="23">
        <v>3</v>
      </c>
      <c r="F53" s="23">
        <v>6</v>
      </c>
      <c r="G53" s="23">
        <v>8</v>
      </c>
      <c r="H53" s="23">
        <v>3</v>
      </c>
      <c r="I53" s="23">
        <v>6</v>
      </c>
    </row>
    <row r="54" spans="1:9">
      <c r="A54" s="21" t="s">
        <v>108</v>
      </c>
      <c r="B54" s="23">
        <v>8</v>
      </c>
      <c r="C54" s="23">
        <v>23</v>
      </c>
      <c r="D54" s="23">
        <v>37</v>
      </c>
      <c r="E54" s="23">
        <v>68</v>
      </c>
      <c r="F54" s="23">
        <v>22</v>
      </c>
      <c r="G54" s="23">
        <v>25</v>
      </c>
      <c r="H54" s="23">
        <v>19</v>
      </c>
      <c r="I54" s="23">
        <v>42</v>
      </c>
    </row>
    <row r="55" spans="1:9">
      <c r="A55" s="21" t="s">
        <v>109</v>
      </c>
      <c r="B55" s="23">
        <v>0</v>
      </c>
      <c r="C55" s="23">
        <v>0</v>
      </c>
      <c r="D55" s="23">
        <v>1</v>
      </c>
      <c r="E55" s="23">
        <v>2</v>
      </c>
      <c r="F55" s="23">
        <v>3</v>
      </c>
      <c r="G55" s="23">
        <v>0</v>
      </c>
      <c r="H55" s="23">
        <v>1</v>
      </c>
      <c r="I55" s="23">
        <v>0</v>
      </c>
    </row>
    <row r="56" spans="1:9">
      <c r="A56" s="21" t="s">
        <v>110</v>
      </c>
      <c r="B56" s="23">
        <v>0</v>
      </c>
      <c r="C56" s="23">
        <v>1</v>
      </c>
      <c r="D56" s="23">
        <v>1</v>
      </c>
      <c r="E56" s="23">
        <v>6</v>
      </c>
      <c r="F56" s="23">
        <v>2</v>
      </c>
      <c r="G56" s="23">
        <v>0</v>
      </c>
      <c r="H56" s="23">
        <v>1</v>
      </c>
      <c r="I56" s="23">
        <v>0</v>
      </c>
    </row>
    <row r="57" spans="1:9" ht="30">
      <c r="A57" s="21" t="s">
        <v>111</v>
      </c>
      <c r="B57" s="23">
        <v>1</v>
      </c>
      <c r="C57" s="23">
        <v>3</v>
      </c>
      <c r="D57" s="23">
        <v>5</v>
      </c>
      <c r="E57" s="23">
        <v>2</v>
      </c>
      <c r="F57" s="23">
        <v>5</v>
      </c>
      <c r="G57" s="23">
        <v>4</v>
      </c>
      <c r="H57" s="23">
        <v>4</v>
      </c>
      <c r="I57" s="23">
        <v>0</v>
      </c>
    </row>
    <row r="58" spans="1:9">
      <c r="A58" s="21" t="s">
        <v>112</v>
      </c>
      <c r="B58" s="23">
        <v>3</v>
      </c>
      <c r="C58" s="23">
        <v>7</v>
      </c>
      <c r="D58" s="23">
        <v>1</v>
      </c>
      <c r="E58" s="23">
        <v>10</v>
      </c>
      <c r="F58" s="23">
        <v>15</v>
      </c>
      <c r="G58" s="23">
        <v>18</v>
      </c>
      <c r="H58" s="23">
        <v>9</v>
      </c>
      <c r="I58" s="23">
        <v>2</v>
      </c>
    </row>
    <row r="59" spans="1:9">
      <c r="A59" s="21" t="s">
        <v>113</v>
      </c>
      <c r="B59" s="23">
        <v>0</v>
      </c>
      <c r="C59" s="23">
        <v>0</v>
      </c>
      <c r="D59" s="23">
        <v>1</v>
      </c>
      <c r="E59" s="23">
        <v>1</v>
      </c>
      <c r="F59" s="23">
        <v>3</v>
      </c>
      <c r="G59" s="23">
        <v>3</v>
      </c>
      <c r="H59" s="23">
        <v>1</v>
      </c>
      <c r="I59" s="23">
        <v>0</v>
      </c>
    </row>
    <row r="60" spans="1:9">
      <c r="A60" s="21" t="s">
        <v>114</v>
      </c>
      <c r="B60" s="23">
        <v>0</v>
      </c>
      <c r="C60" s="23">
        <v>0</v>
      </c>
      <c r="D60" s="23">
        <v>2</v>
      </c>
      <c r="E60" s="23">
        <v>2</v>
      </c>
      <c r="F60" s="23">
        <v>2</v>
      </c>
      <c r="G60" s="23">
        <v>0</v>
      </c>
      <c r="H60" s="23">
        <v>1</v>
      </c>
      <c r="I60" s="23">
        <v>0</v>
      </c>
    </row>
    <row r="61" spans="1:9">
      <c r="A61" s="21" t="s">
        <v>115</v>
      </c>
      <c r="B61" s="23">
        <v>0</v>
      </c>
      <c r="C61" s="23">
        <v>1</v>
      </c>
      <c r="D61" s="23">
        <v>0</v>
      </c>
      <c r="E61" s="23">
        <v>2</v>
      </c>
      <c r="F61" s="23">
        <v>2</v>
      </c>
      <c r="G61" s="23">
        <v>1</v>
      </c>
      <c r="H61" s="23">
        <v>2</v>
      </c>
      <c r="I61" s="23">
        <v>0</v>
      </c>
    </row>
    <row r="62" spans="1:9">
      <c r="A62" s="21" t="s">
        <v>116</v>
      </c>
      <c r="B62" s="23">
        <v>1</v>
      </c>
      <c r="C62" s="23">
        <v>1</v>
      </c>
      <c r="D62" s="23">
        <v>11</v>
      </c>
      <c r="E62" s="23">
        <v>9</v>
      </c>
      <c r="F62" s="23">
        <v>5</v>
      </c>
      <c r="G62" s="23">
        <v>5</v>
      </c>
      <c r="H62" s="23">
        <v>6</v>
      </c>
      <c r="I62" s="23">
        <v>3</v>
      </c>
    </row>
    <row r="63" spans="1:9">
      <c r="A63" s="21" t="s">
        <v>117</v>
      </c>
      <c r="B63" s="23">
        <v>53</v>
      </c>
      <c r="C63" s="23">
        <v>0</v>
      </c>
      <c r="D63" s="23">
        <v>15</v>
      </c>
      <c r="E63" s="23">
        <v>27</v>
      </c>
      <c r="F63" s="23">
        <v>14</v>
      </c>
      <c r="G63" s="23">
        <v>3</v>
      </c>
      <c r="H63" s="23">
        <v>3</v>
      </c>
      <c r="I63" s="23">
        <v>21</v>
      </c>
    </row>
    <row r="64" spans="1:9">
      <c r="A64" s="21" t="s">
        <v>118</v>
      </c>
      <c r="B64" s="23">
        <v>0</v>
      </c>
      <c r="C64" s="23">
        <v>0</v>
      </c>
      <c r="D64" s="23">
        <v>0</v>
      </c>
      <c r="E64" s="23">
        <v>2</v>
      </c>
      <c r="F64" s="23">
        <v>2</v>
      </c>
      <c r="G64" s="23">
        <v>0</v>
      </c>
      <c r="H64" s="23">
        <v>2</v>
      </c>
      <c r="I64" s="23">
        <v>0</v>
      </c>
    </row>
    <row r="65" spans="1:9">
      <c r="A65" s="21" t="s">
        <v>119</v>
      </c>
      <c r="B65" s="23">
        <v>1</v>
      </c>
      <c r="C65" s="23">
        <v>5</v>
      </c>
      <c r="D65" s="23">
        <v>0</v>
      </c>
      <c r="E65" s="23">
        <v>3</v>
      </c>
      <c r="F65" s="23">
        <v>4</v>
      </c>
      <c r="G65" s="23">
        <v>1</v>
      </c>
      <c r="H65" s="23">
        <v>12</v>
      </c>
      <c r="I65" s="23">
        <v>0</v>
      </c>
    </row>
    <row r="66" spans="1:9">
      <c r="A66" s="21" t="s">
        <v>120</v>
      </c>
      <c r="B66" s="23">
        <v>4</v>
      </c>
      <c r="C66" s="23">
        <v>3</v>
      </c>
      <c r="D66" s="23">
        <v>1</v>
      </c>
      <c r="E66" s="23">
        <v>4</v>
      </c>
      <c r="F66" s="23">
        <v>4</v>
      </c>
      <c r="G66" s="23">
        <v>3</v>
      </c>
      <c r="H66" s="23">
        <v>8</v>
      </c>
      <c r="I66" s="23">
        <v>0</v>
      </c>
    </row>
    <row r="67" spans="1:9">
      <c r="A67" s="21" t="s">
        <v>121</v>
      </c>
      <c r="B67" s="23">
        <v>1</v>
      </c>
      <c r="C67" s="23">
        <v>3</v>
      </c>
      <c r="D67" s="23">
        <v>0</v>
      </c>
      <c r="E67" s="23">
        <v>2</v>
      </c>
      <c r="F67" s="23">
        <v>7</v>
      </c>
      <c r="G67" s="23">
        <v>5</v>
      </c>
      <c r="H67" s="23">
        <v>4</v>
      </c>
      <c r="I67" s="23">
        <v>0</v>
      </c>
    </row>
    <row r="68" spans="1:9">
      <c r="A68" s="21" t="s">
        <v>122</v>
      </c>
      <c r="B68" s="23">
        <v>6</v>
      </c>
      <c r="C68" s="23">
        <v>1</v>
      </c>
      <c r="D68" s="23">
        <v>3</v>
      </c>
      <c r="E68" s="23">
        <v>1</v>
      </c>
      <c r="F68" s="23">
        <v>1</v>
      </c>
      <c r="G68" s="23">
        <v>1</v>
      </c>
      <c r="H68" s="23">
        <v>0</v>
      </c>
      <c r="I68" s="23">
        <v>11</v>
      </c>
    </row>
    <row r="69" spans="1:9">
      <c r="A69" s="21" t="s">
        <v>123</v>
      </c>
      <c r="B69" s="23">
        <v>1</v>
      </c>
      <c r="C69" s="23">
        <v>2</v>
      </c>
      <c r="D69" s="23">
        <v>2</v>
      </c>
      <c r="E69" s="23">
        <v>2</v>
      </c>
      <c r="F69" s="23">
        <v>3</v>
      </c>
      <c r="G69" s="23">
        <v>1</v>
      </c>
      <c r="H69" s="23">
        <v>0</v>
      </c>
      <c r="I69" s="23">
        <v>0</v>
      </c>
    </row>
    <row r="70" spans="1:9">
      <c r="A70" s="21" t="s">
        <v>124</v>
      </c>
      <c r="B70" s="23">
        <v>3</v>
      </c>
      <c r="C70" s="23">
        <v>1</v>
      </c>
      <c r="D70" s="23">
        <v>0</v>
      </c>
      <c r="E70" s="23">
        <v>1</v>
      </c>
      <c r="F70" s="23">
        <v>2</v>
      </c>
      <c r="G70" s="23">
        <v>3</v>
      </c>
      <c r="H70" s="23">
        <v>3</v>
      </c>
      <c r="I70" s="23">
        <v>0</v>
      </c>
    </row>
    <row r="71" spans="1:9">
      <c r="A71" s="21" t="s">
        <v>125</v>
      </c>
      <c r="B71" s="23">
        <v>2</v>
      </c>
      <c r="C71" s="23">
        <v>0</v>
      </c>
      <c r="D71" s="23">
        <v>9</v>
      </c>
      <c r="E71" s="23">
        <v>2</v>
      </c>
      <c r="F71" s="23">
        <v>1</v>
      </c>
      <c r="G71" s="23">
        <v>3</v>
      </c>
      <c r="H71" s="23">
        <v>0</v>
      </c>
      <c r="I71" s="23">
        <v>10</v>
      </c>
    </row>
    <row r="72" spans="1:9">
      <c r="A72" s="21" t="s">
        <v>126</v>
      </c>
      <c r="B72" s="23">
        <v>40</v>
      </c>
      <c r="C72" s="23">
        <v>12</v>
      </c>
      <c r="D72" s="23">
        <v>92</v>
      </c>
      <c r="E72" s="23">
        <v>49</v>
      </c>
      <c r="F72" s="23">
        <v>64</v>
      </c>
      <c r="G72" s="23">
        <v>20</v>
      </c>
      <c r="H72" s="23">
        <v>48</v>
      </c>
      <c r="I72" s="23">
        <v>68</v>
      </c>
    </row>
    <row r="73" spans="1:9">
      <c r="A73" s="21" t="s">
        <v>127</v>
      </c>
      <c r="B73" s="23">
        <v>6</v>
      </c>
      <c r="C73" s="23">
        <v>4</v>
      </c>
      <c r="D73" s="23">
        <v>8</v>
      </c>
      <c r="E73" s="23">
        <v>1</v>
      </c>
      <c r="F73" s="23">
        <v>16</v>
      </c>
      <c r="G73" s="23">
        <v>11</v>
      </c>
      <c r="H73" s="23">
        <v>18</v>
      </c>
      <c r="I73" s="23">
        <v>1</v>
      </c>
    </row>
    <row r="74" spans="1:9" ht="30">
      <c r="A74" s="21" t="s">
        <v>128</v>
      </c>
      <c r="B74" s="23">
        <v>0</v>
      </c>
      <c r="C74" s="23">
        <v>2</v>
      </c>
      <c r="D74" s="23">
        <v>2</v>
      </c>
      <c r="E74" s="23">
        <v>1</v>
      </c>
      <c r="F74" s="23">
        <v>6</v>
      </c>
      <c r="G74" s="23">
        <v>5</v>
      </c>
      <c r="H74" s="23">
        <v>7</v>
      </c>
      <c r="I74" s="23">
        <v>1</v>
      </c>
    </row>
    <row r="75" spans="1:9">
      <c r="A75" s="21" t="s">
        <v>129</v>
      </c>
      <c r="B75" s="23">
        <v>7</v>
      </c>
      <c r="C75" s="23">
        <v>4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</row>
    <row r="76" spans="1:9">
      <c r="A76" s="21" t="s">
        <v>130</v>
      </c>
      <c r="B76" s="23">
        <v>0</v>
      </c>
      <c r="C76" s="23">
        <v>0</v>
      </c>
      <c r="D76" s="23">
        <v>18</v>
      </c>
      <c r="E76" s="23">
        <v>22</v>
      </c>
      <c r="F76" s="23">
        <v>17</v>
      </c>
      <c r="G76" s="23">
        <v>6</v>
      </c>
      <c r="H76" s="23">
        <v>8</v>
      </c>
      <c r="I76" s="23">
        <v>7</v>
      </c>
    </row>
    <row r="77" spans="1:9">
      <c r="A77" s="21" t="s">
        <v>131</v>
      </c>
      <c r="B77" s="23">
        <v>1</v>
      </c>
      <c r="C77" s="23">
        <v>7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</row>
    <row r="78" spans="1:9">
      <c r="A78" s="21" t="s">
        <v>132</v>
      </c>
      <c r="B78" s="23">
        <v>0</v>
      </c>
      <c r="C78" s="23">
        <v>14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</row>
    <row r="79" spans="1:9">
      <c r="A79" s="21" t="s">
        <v>133</v>
      </c>
      <c r="B79" s="23">
        <v>0</v>
      </c>
      <c r="C79" s="23">
        <v>2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</row>
    <row r="80" spans="1:9">
      <c r="A80" s="21" t="s">
        <v>134</v>
      </c>
      <c r="B80" s="23">
        <v>0</v>
      </c>
      <c r="C80" s="23">
        <v>7</v>
      </c>
      <c r="D80" s="23">
        <v>1</v>
      </c>
      <c r="E80" s="23">
        <v>2</v>
      </c>
      <c r="F80" s="23">
        <v>2</v>
      </c>
      <c r="G80" s="23">
        <v>7</v>
      </c>
      <c r="H80" s="23">
        <v>0</v>
      </c>
      <c r="I80" s="23">
        <v>7</v>
      </c>
    </row>
    <row r="81" spans="1:9">
      <c r="A81" s="21" t="s">
        <v>135</v>
      </c>
      <c r="B81" s="23">
        <v>12</v>
      </c>
      <c r="C81" s="23">
        <v>58</v>
      </c>
      <c r="D81" s="23">
        <v>6</v>
      </c>
      <c r="E81" s="23">
        <v>6</v>
      </c>
      <c r="F81" s="23">
        <v>53</v>
      </c>
      <c r="G81" s="23">
        <v>5</v>
      </c>
      <c r="H81" s="23">
        <v>5</v>
      </c>
      <c r="I81" s="23">
        <v>2</v>
      </c>
    </row>
    <row r="82" spans="1:9">
      <c r="A82" s="21" t="s">
        <v>136</v>
      </c>
      <c r="B82" s="23">
        <v>3</v>
      </c>
      <c r="C82" s="23">
        <v>3</v>
      </c>
      <c r="D82" s="23">
        <v>3</v>
      </c>
      <c r="E82" s="23">
        <v>4</v>
      </c>
      <c r="F82" s="23">
        <v>0</v>
      </c>
      <c r="G82" s="23">
        <v>6</v>
      </c>
      <c r="H82" s="23">
        <v>6</v>
      </c>
      <c r="I82" s="23">
        <v>2</v>
      </c>
    </row>
    <row r="83" spans="1:9">
      <c r="A83" s="21" t="s">
        <v>137</v>
      </c>
      <c r="B83" s="23">
        <v>2</v>
      </c>
      <c r="C83" s="23">
        <v>3</v>
      </c>
      <c r="D83" s="23">
        <v>1</v>
      </c>
      <c r="E83" s="23">
        <v>1</v>
      </c>
      <c r="F83" s="23">
        <v>2</v>
      </c>
      <c r="G83" s="23">
        <v>0</v>
      </c>
      <c r="H83" s="23">
        <v>1</v>
      </c>
      <c r="I83" s="23">
        <v>0</v>
      </c>
    </row>
    <row r="84" spans="1:9">
      <c r="A84" s="21" t="s">
        <v>138</v>
      </c>
      <c r="B84" s="23">
        <v>0</v>
      </c>
      <c r="C84" s="23">
        <v>0</v>
      </c>
      <c r="D84" s="23">
        <v>1</v>
      </c>
      <c r="E84" s="23">
        <v>7</v>
      </c>
      <c r="F84" s="23">
        <v>4</v>
      </c>
      <c r="G84" s="23">
        <v>2</v>
      </c>
      <c r="H84" s="23">
        <v>1</v>
      </c>
      <c r="I84" s="23">
        <v>3</v>
      </c>
    </row>
    <row r="85" spans="1:9">
      <c r="A85" s="21" t="s">
        <v>139</v>
      </c>
      <c r="B85" s="23">
        <v>0</v>
      </c>
      <c r="C85" s="23">
        <v>1</v>
      </c>
      <c r="D85" s="23">
        <v>0</v>
      </c>
      <c r="E85" s="23">
        <v>1</v>
      </c>
      <c r="F85" s="23">
        <v>1</v>
      </c>
      <c r="G85" s="23">
        <v>3</v>
      </c>
      <c r="H85" s="23">
        <v>3</v>
      </c>
      <c r="I85" s="23">
        <v>0</v>
      </c>
    </row>
    <row r="86" spans="1:9">
      <c r="A86" s="21" t="s">
        <v>140</v>
      </c>
      <c r="B86" s="23">
        <v>4</v>
      </c>
      <c r="C86" s="23">
        <v>15</v>
      </c>
      <c r="D86" s="23">
        <v>12</v>
      </c>
      <c r="E86" s="23">
        <v>17</v>
      </c>
      <c r="F86" s="23">
        <v>23</v>
      </c>
      <c r="G86" s="23">
        <v>14</v>
      </c>
      <c r="H86" s="23">
        <v>7</v>
      </c>
      <c r="I86" s="23">
        <v>21</v>
      </c>
    </row>
    <row r="87" spans="1:9">
      <c r="A87" s="21" t="s">
        <v>141</v>
      </c>
      <c r="B87" s="23">
        <v>1</v>
      </c>
      <c r="C87" s="23">
        <v>5</v>
      </c>
      <c r="D87" s="23">
        <v>2</v>
      </c>
      <c r="E87" s="23">
        <v>3</v>
      </c>
      <c r="F87" s="23">
        <v>9</v>
      </c>
      <c r="G87" s="23">
        <v>22</v>
      </c>
      <c r="H87" s="23">
        <v>17</v>
      </c>
      <c r="I87" s="23">
        <v>25</v>
      </c>
    </row>
    <row r="88" spans="1:9">
      <c r="A88" s="21" t="s">
        <v>142</v>
      </c>
      <c r="B88" s="23">
        <v>8</v>
      </c>
      <c r="C88" s="23">
        <v>4</v>
      </c>
      <c r="D88" s="23">
        <v>14</v>
      </c>
      <c r="E88" s="23">
        <v>31</v>
      </c>
      <c r="F88" s="23">
        <v>13</v>
      </c>
      <c r="G88" s="23">
        <v>5</v>
      </c>
      <c r="H88" s="23">
        <v>10</v>
      </c>
      <c r="I88" s="23">
        <v>29</v>
      </c>
    </row>
    <row r="89" spans="1:9">
      <c r="A89" s="21" t="s">
        <v>143</v>
      </c>
      <c r="B89" s="23">
        <v>1</v>
      </c>
      <c r="C89" s="23">
        <v>0</v>
      </c>
      <c r="D89" s="23">
        <v>0</v>
      </c>
      <c r="E89" s="23">
        <v>4</v>
      </c>
      <c r="F89" s="23">
        <v>5</v>
      </c>
      <c r="G89" s="23">
        <v>2</v>
      </c>
      <c r="H89" s="23">
        <v>2</v>
      </c>
      <c r="I89" s="23">
        <v>0</v>
      </c>
    </row>
    <row r="90" spans="1:9">
      <c r="A90" s="21" t="s">
        <v>144</v>
      </c>
      <c r="B90" s="23">
        <v>5</v>
      </c>
      <c r="C90" s="23">
        <v>3</v>
      </c>
      <c r="D90" s="23">
        <v>5</v>
      </c>
      <c r="E90" s="23">
        <v>7</v>
      </c>
      <c r="F90" s="23">
        <v>6</v>
      </c>
      <c r="G90" s="23">
        <v>8</v>
      </c>
      <c r="H90" s="23">
        <v>9</v>
      </c>
      <c r="I90" s="23">
        <v>5</v>
      </c>
    </row>
    <row r="91" spans="1:9">
      <c r="A91" s="21" t="s">
        <v>145</v>
      </c>
      <c r="B91" s="23">
        <v>0</v>
      </c>
      <c r="C91" s="23">
        <v>2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</row>
    <row r="92" spans="1:9">
      <c r="A92" s="21" t="s">
        <v>146</v>
      </c>
      <c r="B92" s="23">
        <v>6</v>
      </c>
      <c r="C92" s="23">
        <v>3</v>
      </c>
      <c r="D92" s="23">
        <v>1</v>
      </c>
      <c r="E92" s="23">
        <v>1</v>
      </c>
      <c r="F92" s="23">
        <v>3</v>
      </c>
      <c r="G92" s="23">
        <v>8</v>
      </c>
      <c r="H92" s="23">
        <v>7</v>
      </c>
      <c r="I92" s="23">
        <v>0</v>
      </c>
    </row>
    <row r="93" spans="1:9">
      <c r="A93" s="21" t="s">
        <v>147</v>
      </c>
      <c r="B93" s="23">
        <v>0</v>
      </c>
      <c r="C93" s="23">
        <v>1</v>
      </c>
      <c r="D93" s="23">
        <v>2</v>
      </c>
      <c r="E93" s="23">
        <v>1</v>
      </c>
      <c r="F93" s="23">
        <v>1</v>
      </c>
      <c r="G93" s="23">
        <v>0</v>
      </c>
      <c r="H93" s="23">
        <v>4</v>
      </c>
      <c r="I93" s="23">
        <v>0</v>
      </c>
    </row>
    <row r="94" spans="1:9">
      <c r="A94" s="21" t="s">
        <v>148</v>
      </c>
      <c r="B94" s="23">
        <v>4</v>
      </c>
      <c r="C94" s="23">
        <v>2</v>
      </c>
      <c r="D94" s="23">
        <v>1</v>
      </c>
      <c r="E94" s="23">
        <v>2</v>
      </c>
      <c r="F94" s="23">
        <v>3</v>
      </c>
      <c r="G94" s="23">
        <v>2</v>
      </c>
      <c r="H94" s="23">
        <v>1</v>
      </c>
      <c r="I94" s="23">
        <v>1</v>
      </c>
    </row>
    <row r="95" spans="1:9">
      <c r="A95" s="21" t="s">
        <v>149</v>
      </c>
      <c r="B95" s="23">
        <v>2</v>
      </c>
      <c r="C95" s="23">
        <v>9</v>
      </c>
      <c r="D95" s="23">
        <v>2</v>
      </c>
      <c r="E95" s="23">
        <v>7</v>
      </c>
      <c r="F95" s="23">
        <v>7</v>
      </c>
      <c r="G95" s="23">
        <v>1</v>
      </c>
      <c r="H95" s="23">
        <v>3</v>
      </c>
      <c r="I95" s="23">
        <v>1</v>
      </c>
    </row>
    <row r="96" spans="1:9">
      <c r="A96" s="21" t="s">
        <v>150</v>
      </c>
      <c r="B96" s="23">
        <v>3</v>
      </c>
      <c r="C96" s="23">
        <v>2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</row>
    <row r="97" spans="1:9">
      <c r="A97" s="21" t="s">
        <v>151</v>
      </c>
      <c r="B97" s="23">
        <v>0</v>
      </c>
      <c r="C97" s="23">
        <v>19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</row>
    <row r="98" spans="1:9">
      <c r="A98" s="21" t="s">
        <v>152</v>
      </c>
      <c r="B98" s="23">
        <v>0</v>
      </c>
      <c r="C98" s="23">
        <v>9</v>
      </c>
      <c r="D98" s="23">
        <v>1</v>
      </c>
      <c r="E98" s="23">
        <v>2</v>
      </c>
      <c r="F98" s="23">
        <v>2</v>
      </c>
      <c r="G98" s="23">
        <v>0</v>
      </c>
      <c r="H98" s="23">
        <v>1</v>
      </c>
      <c r="I98" s="23">
        <v>0</v>
      </c>
    </row>
    <row r="99" spans="1:9" ht="30">
      <c r="A99" s="21" t="s">
        <v>153</v>
      </c>
      <c r="B99" s="23">
        <v>0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</row>
    <row r="100" spans="1:9">
      <c r="A100" s="21" t="s">
        <v>154</v>
      </c>
      <c r="B100" s="23">
        <v>22</v>
      </c>
      <c r="C100" s="23">
        <v>15</v>
      </c>
      <c r="D100" s="23">
        <v>34</v>
      </c>
      <c r="E100" s="23">
        <v>13</v>
      </c>
      <c r="F100" s="23">
        <v>10</v>
      </c>
      <c r="G100" s="23">
        <v>23</v>
      </c>
      <c r="H100" s="23">
        <v>18</v>
      </c>
      <c r="I100" s="23">
        <v>46</v>
      </c>
    </row>
    <row r="101" spans="1:9">
      <c r="A101" s="21" t="s">
        <v>155</v>
      </c>
      <c r="B101" s="23">
        <v>6</v>
      </c>
      <c r="C101" s="23">
        <v>14</v>
      </c>
      <c r="D101" s="23">
        <v>6</v>
      </c>
      <c r="E101" s="23">
        <v>8</v>
      </c>
      <c r="F101" s="23">
        <v>3</v>
      </c>
      <c r="G101" s="23">
        <v>7</v>
      </c>
      <c r="H101" s="23">
        <v>2</v>
      </c>
      <c r="I101" s="23">
        <v>9</v>
      </c>
    </row>
    <row r="102" spans="1:9">
      <c r="A102" s="21" t="s">
        <v>156</v>
      </c>
      <c r="B102" s="23">
        <v>1</v>
      </c>
      <c r="C102" s="23">
        <v>2</v>
      </c>
      <c r="D102" s="23">
        <v>0</v>
      </c>
      <c r="E102" s="23">
        <v>1</v>
      </c>
      <c r="F102" s="23">
        <v>8</v>
      </c>
      <c r="G102" s="23">
        <v>2</v>
      </c>
      <c r="H102" s="23">
        <v>5</v>
      </c>
      <c r="I102" s="23">
        <v>0</v>
      </c>
    </row>
    <row r="103" spans="1:9" ht="30">
      <c r="A103" s="21" t="s">
        <v>157</v>
      </c>
      <c r="B103" s="23">
        <v>7</v>
      </c>
      <c r="C103" s="23">
        <v>7</v>
      </c>
      <c r="D103" s="23">
        <v>3</v>
      </c>
      <c r="E103" s="23">
        <v>5</v>
      </c>
      <c r="F103" s="23">
        <v>8</v>
      </c>
      <c r="G103" s="23">
        <v>5</v>
      </c>
      <c r="H103" s="23">
        <v>1</v>
      </c>
      <c r="I103" s="23">
        <v>1</v>
      </c>
    </row>
    <row r="104" spans="1:9">
      <c r="A104" s="21" t="s">
        <v>158</v>
      </c>
      <c r="B104" s="23">
        <v>82</v>
      </c>
      <c r="C104" s="23">
        <v>26</v>
      </c>
      <c r="D104" s="23">
        <v>38</v>
      </c>
      <c r="E104" s="23">
        <v>16</v>
      </c>
      <c r="F104" s="23">
        <v>7</v>
      </c>
      <c r="G104" s="23">
        <v>15</v>
      </c>
      <c r="H104" s="23">
        <v>3</v>
      </c>
      <c r="I104" s="23">
        <v>26</v>
      </c>
    </row>
    <row r="105" spans="1:9">
      <c r="A105" s="21" t="s">
        <v>159</v>
      </c>
      <c r="B105" s="23">
        <v>9</v>
      </c>
      <c r="C105" s="23">
        <v>0</v>
      </c>
      <c r="D105" s="23">
        <v>30</v>
      </c>
      <c r="E105" s="23">
        <v>5</v>
      </c>
      <c r="F105" s="23">
        <v>2</v>
      </c>
      <c r="G105" s="23">
        <v>3</v>
      </c>
      <c r="H105" s="23">
        <v>0</v>
      </c>
      <c r="I105" s="23">
        <v>11</v>
      </c>
    </row>
    <row r="106" spans="1:9" ht="30">
      <c r="A106" s="21" t="s">
        <v>160</v>
      </c>
      <c r="B106" s="23">
        <v>8</v>
      </c>
      <c r="C106" s="23">
        <v>2</v>
      </c>
      <c r="D106" s="23">
        <v>7</v>
      </c>
      <c r="E106" s="23">
        <v>6</v>
      </c>
      <c r="F106" s="23">
        <v>3</v>
      </c>
      <c r="G106" s="23">
        <v>7</v>
      </c>
      <c r="H106" s="23">
        <v>2</v>
      </c>
      <c r="I106" s="23">
        <v>17</v>
      </c>
    </row>
    <row r="107" spans="1:9">
      <c r="A107" s="21" t="s">
        <v>161</v>
      </c>
      <c r="B107" s="23">
        <v>0</v>
      </c>
      <c r="C107" s="23">
        <v>1</v>
      </c>
      <c r="D107" s="23">
        <v>0</v>
      </c>
      <c r="E107" s="23">
        <v>2</v>
      </c>
      <c r="F107" s="23">
        <v>6</v>
      </c>
      <c r="G107" s="23">
        <v>1</v>
      </c>
      <c r="H107" s="23">
        <v>0</v>
      </c>
      <c r="I107" s="23">
        <v>0</v>
      </c>
    </row>
    <row r="108" spans="1:9">
      <c r="A108" s="21" t="s">
        <v>162</v>
      </c>
      <c r="B108" s="23">
        <v>0</v>
      </c>
      <c r="C108" s="23">
        <v>9</v>
      </c>
      <c r="D108" s="23">
        <v>2</v>
      </c>
      <c r="E108" s="23">
        <v>2</v>
      </c>
      <c r="F108" s="23">
        <v>1</v>
      </c>
      <c r="G108" s="23">
        <v>3</v>
      </c>
      <c r="H108" s="23">
        <v>1</v>
      </c>
      <c r="I108" s="23">
        <v>1</v>
      </c>
    </row>
    <row r="109" spans="1:9">
      <c r="A109" s="21" t="s">
        <v>163</v>
      </c>
      <c r="B109" s="23">
        <v>1</v>
      </c>
      <c r="C109" s="23">
        <v>8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</row>
    <row r="110" spans="1:9">
      <c r="A110" s="21" t="s">
        <v>164</v>
      </c>
      <c r="B110" s="23">
        <v>0</v>
      </c>
      <c r="C110" s="23">
        <v>2</v>
      </c>
      <c r="D110" s="23">
        <v>2</v>
      </c>
      <c r="E110" s="23">
        <v>12</v>
      </c>
      <c r="F110" s="23">
        <v>16</v>
      </c>
      <c r="G110" s="23">
        <v>16</v>
      </c>
      <c r="H110" s="23">
        <v>9</v>
      </c>
      <c r="I110" s="23">
        <v>1</v>
      </c>
    </row>
    <row r="111" spans="1:9">
      <c r="A111" s="21" t="s">
        <v>165</v>
      </c>
      <c r="B111" s="23">
        <v>3</v>
      </c>
      <c r="C111" s="23">
        <v>40</v>
      </c>
      <c r="D111" s="23">
        <v>4</v>
      </c>
      <c r="E111" s="23">
        <v>8</v>
      </c>
      <c r="F111" s="23">
        <v>18</v>
      </c>
      <c r="G111" s="23">
        <v>16</v>
      </c>
      <c r="H111" s="23">
        <v>14</v>
      </c>
      <c r="I111" s="23">
        <v>10</v>
      </c>
    </row>
    <row r="112" spans="1:9">
      <c r="A112" s="21" t="s">
        <v>166</v>
      </c>
      <c r="B112" s="23">
        <v>1</v>
      </c>
      <c r="C112" s="23">
        <v>22</v>
      </c>
      <c r="D112" s="23">
        <v>0</v>
      </c>
      <c r="E112" s="23">
        <v>1</v>
      </c>
      <c r="F112" s="23">
        <v>9</v>
      </c>
      <c r="G112" s="23">
        <v>2</v>
      </c>
      <c r="H112" s="23">
        <v>2</v>
      </c>
      <c r="I112" s="23">
        <v>0</v>
      </c>
    </row>
    <row r="113" spans="1:9">
      <c r="A113" s="21" t="s">
        <v>167</v>
      </c>
      <c r="B113" s="23">
        <v>8</v>
      </c>
      <c r="C113" s="23">
        <v>42</v>
      </c>
      <c r="D113" s="23">
        <v>3</v>
      </c>
      <c r="E113" s="23">
        <v>9</v>
      </c>
      <c r="F113" s="23">
        <v>32</v>
      </c>
      <c r="G113" s="23">
        <v>40</v>
      </c>
      <c r="H113" s="23">
        <v>6</v>
      </c>
      <c r="I113" s="23">
        <v>5</v>
      </c>
    </row>
    <row r="114" spans="1:9">
      <c r="A114" s="21" t="s">
        <v>168</v>
      </c>
      <c r="B114" s="23">
        <v>1</v>
      </c>
      <c r="C114" s="23">
        <v>0</v>
      </c>
      <c r="D114" s="23">
        <v>17</v>
      </c>
      <c r="E114" s="23">
        <v>0</v>
      </c>
      <c r="F114" s="23">
        <v>4</v>
      </c>
      <c r="G114" s="23">
        <v>16</v>
      </c>
      <c r="H114" s="23">
        <v>3</v>
      </c>
      <c r="I114" s="23">
        <v>6</v>
      </c>
    </row>
    <row r="115" spans="1:9">
      <c r="A115" s="21" t="s">
        <v>169</v>
      </c>
      <c r="B115" s="23">
        <v>0</v>
      </c>
      <c r="C115" s="23">
        <v>0</v>
      </c>
      <c r="D115" s="23">
        <v>4</v>
      </c>
      <c r="E115" s="23">
        <v>4</v>
      </c>
      <c r="F115" s="23">
        <v>2</v>
      </c>
      <c r="G115" s="23">
        <v>5</v>
      </c>
      <c r="H115" s="23">
        <v>0</v>
      </c>
      <c r="I115" s="23">
        <v>5</v>
      </c>
    </row>
    <row r="116" spans="1:9">
      <c r="A116" s="21" t="s">
        <v>170</v>
      </c>
      <c r="B116" s="23">
        <v>1</v>
      </c>
      <c r="C116" s="23">
        <v>18</v>
      </c>
      <c r="D116" s="23">
        <v>0</v>
      </c>
      <c r="E116" s="23">
        <v>3</v>
      </c>
      <c r="F116" s="23">
        <v>3</v>
      </c>
      <c r="G116" s="23">
        <v>10</v>
      </c>
      <c r="H116" s="23">
        <v>4</v>
      </c>
      <c r="I116" s="23">
        <v>0</v>
      </c>
    </row>
    <row r="117" spans="1:9">
      <c r="A117" s="21" t="s">
        <v>171</v>
      </c>
      <c r="B117" s="23">
        <v>8</v>
      </c>
      <c r="C117" s="23">
        <v>37</v>
      </c>
      <c r="D117" s="23">
        <v>4</v>
      </c>
      <c r="E117" s="23">
        <v>2</v>
      </c>
      <c r="F117" s="23">
        <v>42</v>
      </c>
      <c r="G117" s="23">
        <v>29</v>
      </c>
      <c r="H117" s="23">
        <v>21</v>
      </c>
      <c r="I117" s="23">
        <v>2</v>
      </c>
    </row>
    <row r="118" spans="1:9">
      <c r="A118" s="21" t="s">
        <v>172</v>
      </c>
      <c r="B118" s="23">
        <v>2</v>
      </c>
      <c r="C118" s="23">
        <v>14</v>
      </c>
      <c r="D118" s="23">
        <v>0</v>
      </c>
      <c r="E118" s="23">
        <v>0</v>
      </c>
      <c r="F118" s="23">
        <v>7</v>
      </c>
      <c r="G118" s="23">
        <v>9</v>
      </c>
      <c r="H118" s="23">
        <v>9</v>
      </c>
      <c r="I118" s="23">
        <v>0</v>
      </c>
    </row>
    <row r="119" spans="1:9" ht="30">
      <c r="A119" s="21" t="s">
        <v>173</v>
      </c>
      <c r="B119" s="23">
        <v>3</v>
      </c>
      <c r="C119" s="23">
        <v>10</v>
      </c>
      <c r="D119" s="23">
        <v>0</v>
      </c>
      <c r="E119" s="23">
        <v>0</v>
      </c>
      <c r="F119" s="23">
        <v>5</v>
      </c>
      <c r="G119" s="23">
        <v>6</v>
      </c>
      <c r="H119" s="23">
        <v>6</v>
      </c>
      <c r="I119" s="23">
        <v>0</v>
      </c>
    </row>
    <row r="120" spans="1:9">
      <c r="A120" s="21" t="s">
        <v>174</v>
      </c>
      <c r="B120" s="23">
        <v>4</v>
      </c>
      <c r="C120" s="23">
        <v>12</v>
      </c>
      <c r="D120" s="23">
        <v>1</v>
      </c>
      <c r="E120" s="23">
        <v>1</v>
      </c>
      <c r="F120" s="23">
        <v>10</v>
      </c>
      <c r="G120" s="23">
        <v>12</v>
      </c>
      <c r="H120" s="23">
        <v>7</v>
      </c>
      <c r="I120" s="23">
        <v>0</v>
      </c>
    </row>
    <row r="121" spans="1:9">
      <c r="A121" s="21" t="s">
        <v>175</v>
      </c>
      <c r="B121" s="23">
        <v>3</v>
      </c>
      <c r="C121" s="23">
        <v>25</v>
      </c>
      <c r="D121" s="23">
        <v>14</v>
      </c>
      <c r="E121" s="23">
        <v>19</v>
      </c>
      <c r="F121" s="23">
        <v>5</v>
      </c>
      <c r="G121" s="23">
        <v>20</v>
      </c>
      <c r="H121" s="23">
        <v>18</v>
      </c>
      <c r="I121" s="23">
        <v>1</v>
      </c>
    </row>
    <row r="122" spans="1:9">
      <c r="A122" s="21" t="s">
        <v>176</v>
      </c>
      <c r="B122" s="23">
        <v>5</v>
      </c>
      <c r="C122" s="23">
        <v>74</v>
      </c>
      <c r="D122" s="23">
        <v>11</v>
      </c>
      <c r="E122" s="23">
        <v>4</v>
      </c>
      <c r="F122" s="23">
        <v>13</v>
      </c>
      <c r="G122" s="23">
        <v>27</v>
      </c>
      <c r="H122" s="23">
        <v>4</v>
      </c>
      <c r="I122" s="23">
        <v>26</v>
      </c>
    </row>
    <row r="123" spans="1:9">
      <c r="A123" s="21" t="s">
        <v>177</v>
      </c>
      <c r="B123" s="23">
        <v>0</v>
      </c>
      <c r="C123" s="23">
        <v>3</v>
      </c>
      <c r="D123" s="23">
        <v>1</v>
      </c>
      <c r="E123" s="23">
        <v>1</v>
      </c>
      <c r="F123" s="23">
        <v>5</v>
      </c>
      <c r="G123" s="23">
        <v>0</v>
      </c>
      <c r="H123" s="23">
        <v>2</v>
      </c>
      <c r="I123" s="23">
        <v>0</v>
      </c>
    </row>
    <row r="124" spans="1:9">
      <c r="A124" s="21" t="s">
        <v>178</v>
      </c>
      <c r="B124" s="23">
        <v>0</v>
      </c>
      <c r="C124" s="23">
        <v>1</v>
      </c>
      <c r="D124" s="23">
        <v>7</v>
      </c>
      <c r="E124" s="23">
        <v>2</v>
      </c>
      <c r="F124" s="23">
        <v>3</v>
      </c>
      <c r="G124" s="23">
        <v>1</v>
      </c>
      <c r="H124" s="23">
        <v>0</v>
      </c>
      <c r="I124" s="23">
        <v>1</v>
      </c>
    </row>
    <row r="125" spans="1:9">
      <c r="A125" s="21" t="s">
        <v>179</v>
      </c>
      <c r="B125" s="23">
        <v>2</v>
      </c>
      <c r="C125" s="23">
        <v>5</v>
      </c>
      <c r="D125" s="23">
        <v>4</v>
      </c>
      <c r="E125" s="23">
        <v>3</v>
      </c>
      <c r="F125" s="23">
        <v>3</v>
      </c>
      <c r="G125" s="23">
        <v>8</v>
      </c>
      <c r="H125" s="23">
        <v>3</v>
      </c>
      <c r="I125" s="23">
        <v>0</v>
      </c>
    </row>
    <row r="126" spans="1:9">
      <c r="A126" s="21" t="s">
        <v>180</v>
      </c>
      <c r="B126" s="23">
        <v>3</v>
      </c>
      <c r="C126" s="23">
        <v>0</v>
      </c>
      <c r="D126" s="23">
        <v>1</v>
      </c>
      <c r="E126" s="23">
        <v>2</v>
      </c>
      <c r="F126" s="23">
        <v>0</v>
      </c>
      <c r="G126" s="23">
        <v>2</v>
      </c>
      <c r="H126" s="23">
        <v>3</v>
      </c>
      <c r="I126" s="23">
        <v>0</v>
      </c>
    </row>
    <row r="127" spans="1:9">
      <c r="A127" s="21" t="s">
        <v>181</v>
      </c>
      <c r="B127" s="23">
        <v>0</v>
      </c>
      <c r="C127" s="23">
        <v>4</v>
      </c>
      <c r="D127" s="23">
        <v>0</v>
      </c>
      <c r="E127" s="23">
        <v>2</v>
      </c>
      <c r="F127" s="23">
        <v>0</v>
      </c>
      <c r="G127" s="23">
        <v>3</v>
      </c>
      <c r="H127" s="23">
        <v>6</v>
      </c>
      <c r="I127" s="23">
        <v>0</v>
      </c>
    </row>
    <row r="128" spans="1:9">
      <c r="A128" s="21" t="s">
        <v>182</v>
      </c>
      <c r="B128" s="23">
        <v>1</v>
      </c>
      <c r="C128" s="23">
        <v>15</v>
      </c>
      <c r="D128" s="23">
        <v>0</v>
      </c>
      <c r="E128" s="23">
        <v>0</v>
      </c>
      <c r="F128" s="23">
        <v>1</v>
      </c>
      <c r="G128" s="23">
        <v>2</v>
      </c>
      <c r="H128" s="23">
        <v>5</v>
      </c>
      <c r="I128" s="23">
        <v>0</v>
      </c>
    </row>
    <row r="129" spans="1:9">
      <c r="A129" s="21" t="s">
        <v>183</v>
      </c>
      <c r="B129" s="23">
        <v>7</v>
      </c>
      <c r="C129" s="23">
        <v>2</v>
      </c>
      <c r="D129" s="23">
        <v>4</v>
      </c>
      <c r="E129" s="23">
        <v>4</v>
      </c>
      <c r="F129" s="23">
        <v>1</v>
      </c>
      <c r="G129" s="23">
        <v>2</v>
      </c>
      <c r="H129" s="23">
        <v>6</v>
      </c>
      <c r="I129" s="23">
        <v>6</v>
      </c>
    </row>
    <row r="130" spans="1:9">
      <c r="A130" s="21" t="s">
        <v>184</v>
      </c>
      <c r="B130" s="23">
        <v>12</v>
      </c>
      <c r="C130" s="23">
        <v>8</v>
      </c>
      <c r="D130" s="23">
        <v>21</v>
      </c>
      <c r="E130" s="23">
        <v>10</v>
      </c>
      <c r="F130" s="23">
        <v>2</v>
      </c>
      <c r="G130" s="23">
        <v>4</v>
      </c>
      <c r="H130" s="23">
        <v>12</v>
      </c>
      <c r="I130" s="23">
        <v>20</v>
      </c>
    </row>
    <row r="131" spans="1:9">
      <c r="A131" s="21" t="s">
        <v>185</v>
      </c>
      <c r="B131" s="23">
        <v>0</v>
      </c>
      <c r="C131" s="23">
        <v>0</v>
      </c>
      <c r="D131" s="23">
        <v>2</v>
      </c>
      <c r="E131" s="23">
        <v>8</v>
      </c>
      <c r="F131" s="23">
        <v>0</v>
      </c>
      <c r="G131" s="23">
        <v>0</v>
      </c>
      <c r="H131" s="23">
        <v>2</v>
      </c>
      <c r="I131" s="23">
        <v>0</v>
      </c>
    </row>
    <row r="132" spans="1:9">
      <c r="A132" s="21" t="s">
        <v>186</v>
      </c>
      <c r="B132" s="23">
        <v>60</v>
      </c>
      <c r="C132" s="23">
        <v>46</v>
      </c>
      <c r="D132" s="23">
        <v>25</v>
      </c>
      <c r="E132" s="23">
        <v>20</v>
      </c>
      <c r="F132" s="23">
        <v>37</v>
      </c>
      <c r="G132" s="23">
        <v>20</v>
      </c>
      <c r="H132" s="23">
        <v>58</v>
      </c>
      <c r="I132" s="23">
        <v>92</v>
      </c>
    </row>
    <row r="133" spans="1:9">
      <c r="A133" s="21" t="s">
        <v>187</v>
      </c>
      <c r="B133" s="23">
        <v>1</v>
      </c>
      <c r="C133" s="23">
        <v>0</v>
      </c>
      <c r="D133" s="23">
        <v>1</v>
      </c>
      <c r="E133" s="23">
        <v>2</v>
      </c>
      <c r="F133" s="23">
        <v>1</v>
      </c>
      <c r="G133" s="23">
        <v>0</v>
      </c>
      <c r="H133" s="23">
        <v>1</v>
      </c>
      <c r="I133" s="23">
        <v>3</v>
      </c>
    </row>
    <row r="134" spans="1:9">
      <c r="A134" s="21" t="s">
        <v>188</v>
      </c>
      <c r="B134" s="23">
        <v>2</v>
      </c>
      <c r="C134" s="23">
        <v>2</v>
      </c>
      <c r="D134" s="23">
        <v>0</v>
      </c>
      <c r="E134" s="23">
        <v>1</v>
      </c>
      <c r="F134" s="23">
        <v>2</v>
      </c>
      <c r="G134" s="23">
        <v>1</v>
      </c>
      <c r="H134" s="23">
        <v>1</v>
      </c>
      <c r="I134" s="23">
        <v>0</v>
      </c>
    </row>
    <row r="135" spans="1:9">
      <c r="A135" s="21" t="s">
        <v>189</v>
      </c>
      <c r="B135" s="23">
        <v>0</v>
      </c>
      <c r="C135" s="23">
        <v>0</v>
      </c>
      <c r="D135" s="23">
        <v>1</v>
      </c>
      <c r="E135" s="23">
        <v>1</v>
      </c>
      <c r="F135" s="23">
        <v>2</v>
      </c>
      <c r="G135" s="23">
        <v>3</v>
      </c>
      <c r="H135" s="23">
        <v>0</v>
      </c>
      <c r="I135" s="23">
        <v>0</v>
      </c>
    </row>
    <row r="136" spans="1:9">
      <c r="A136" s="21" t="s">
        <v>190</v>
      </c>
      <c r="B136" s="23">
        <v>22</v>
      </c>
      <c r="C136" s="23">
        <v>0</v>
      </c>
      <c r="D136" s="23">
        <v>27</v>
      </c>
      <c r="E136" s="23">
        <v>5</v>
      </c>
      <c r="F136" s="23">
        <v>0</v>
      </c>
      <c r="G136" s="23">
        <v>0</v>
      </c>
      <c r="H136" s="23">
        <v>0</v>
      </c>
      <c r="I136" s="23">
        <v>33</v>
      </c>
    </row>
    <row r="137" spans="1:9">
      <c r="A137" s="21" t="s">
        <v>191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</row>
    <row r="138" spans="1:9">
      <c r="A138" s="21" t="s">
        <v>192</v>
      </c>
      <c r="B138" s="23">
        <v>0</v>
      </c>
      <c r="C138" s="23">
        <v>1</v>
      </c>
      <c r="D138" s="23">
        <v>10</v>
      </c>
      <c r="E138" s="23">
        <v>9</v>
      </c>
      <c r="F138" s="23">
        <v>6</v>
      </c>
      <c r="G138" s="23">
        <v>0</v>
      </c>
      <c r="H138" s="23">
        <v>4</v>
      </c>
      <c r="I138" s="23">
        <v>2</v>
      </c>
    </row>
    <row r="139" spans="1:9">
      <c r="A139" s="21" t="s">
        <v>193</v>
      </c>
      <c r="B139" s="23">
        <v>2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</row>
    <row r="140" spans="1:9" ht="30">
      <c r="A140" s="21" t="s">
        <v>194</v>
      </c>
      <c r="B140" s="23">
        <v>2</v>
      </c>
      <c r="C140" s="23">
        <v>7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</row>
    <row r="141" spans="1:9">
      <c r="A141" s="21" t="s">
        <v>195</v>
      </c>
      <c r="B141" s="23">
        <v>1</v>
      </c>
      <c r="C141" s="23">
        <v>9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</row>
    <row r="142" spans="1:9">
      <c r="A142" s="21" t="s">
        <v>196</v>
      </c>
      <c r="B142" s="23">
        <v>15</v>
      </c>
      <c r="C142" s="23">
        <v>5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</row>
    <row r="143" spans="1:9" ht="30">
      <c r="A143" s="21" t="s">
        <v>197</v>
      </c>
      <c r="B143" s="23">
        <v>6</v>
      </c>
      <c r="C143" s="23">
        <v>51</v>
      </c>
      <c r="D143" s="23">
        <v>1</v>
      </c>
      <c r="E143" s="23">
        <v>1</v>
      </c>
      <c r="F143" s="23">
        <v>5</v>
      </c>
      <c r="G143" s="23">
        <v>10</v>
      </c>
      <c r="H143" s="23">
        <v>7</v>
      </c>
      <c r="I143" s="23">
        <v>1</v>
      </c>
    </row>
    <row r="144" spans="1:9" ht="30">
      <c r="A144" s="21" t="s">
        <v>198</v>
      </c>
      <c r="B144" s="23">
        <v>1</v>
      </c>
      <c r="C144" s="23">
        <v>8</v>
      </c>
      <c r="D144" s="23">
        <v>4</v>
      </c>
      <c r="E144" s="23">
        <v>1</v>
      </c>
      <c r="F144" s="23">
        <v>0</v>
      </c>
      <c r="G144" s="23">
        <v>2</v>
      </c>
      <c r="H144" s="23">
        <v>0</v>
      </c>
      <c r="I144" s="23">
        <v>0</v>
      </c>
    </row>
    <row r="145" spans="1:9">
      <c r="A145" s="21" t="s">
        <v>199</v>
      </c>
      <c r="B145" s="23">
        <v>0</v>
      </c>
      <c r="C145" s="23">
        <v>7</v>
      </c>
      <c r="D145" s="23">
        <v>2</v>
      </c>
      <c r="E145" s="23">
        <v>2</v>
      </c>
      <c r="F145" s="23">
        <v>4</v>
      </c>
      <c r="G145" s="23">
        <v>0</v>
      </c>
      <c r="H145" s="23">
        <v>1</v>
      </c>
      <c r="I145" s="23">
        <v>0</v>
      </c>
    </row>
    <row r="146" spans="1:9" ht="30">
      <c r="A146" s="21" t="s">
        <v>200</v>
      </c>
      <c r="B146" s="23">
        <v>0</v>
      </c>
      <c r="C146" s="23">
        <v>58</v>
      </c>
      <c r="D146" s="23">
        <v>0</v>
      </c>
      <c r="E146" s="23">
        <v>0</v>
      </c>
      <c r="F146" s="23">
        <v>7</v>
      </c>
      <c r="G146" s="23">
        <v>6</v>
      </c>
      <c r="H146" s="23">
        <v>2</v>
      </c>
      <c r="I146" s="23">
        <v>0</v>
      </c>
    </row>
    <row r="147" spans="1:9">
      <c r="A147" s="21" t="s">
        <v>201</v>
      </c>
      <c r="B147" s="23">
        <v>2</v>
      </c>
      <c r="C147" s="23">
        <v>1</v>
      </c>
      <c r="D147" s="23">
        <v>2</v>
      </c>
      <c r="E147" s="23">
        <v>2</v>
      </c>
      <c r="F147" s="23">
        <v>8</v>
      </c>
      <c r="G147" s="23">
        <v>15</v>
      </c>
      <c r="H147" s="23">
        <v>11</v>
      </c>
      <c r="I147" s="23">
        <v>3</v>
      </c>
    </row>
    <row r="148" spans="1:9" ht="30">
      <c r="A148" s="21" t="s">
        <v>202</v>
      </c>
      <c r="B148" s="23">
        <v>4</v>
      </c>
      <c r="C148" s="23">
        <v>0</v>
      </c>
      <c r="D148" s="23">
        <v>1</v>
      </c>
      <c r="E148" s="23">
        <v>0</v>
      </c>
      <c r="F148" s="23">
        <v>3</v>
      </c>
      <c r="G148" s="23">
        <v>2</v>
      </c>
      <c r="H148" s="23">
        <v>0</v>
      </c>
      <c r="I148" s="23">
        <v>0</v>
      </c>
    </row>
    <row r="149" spans="1:9">
      <c r="A149" s="21" t="s">
        <v>203</v>
      </c>
      <c r="B149" s="23">
        <v>1</v>
      </c>
      <c r="C149" s="23">
        <v>2</v>
      </c>
      <c r="D149" s="23">
        <v>0</v>
      </c>
      <c r="E149" s="23">
        <v>4</v>
      </c>
      <c r="F149" s="23">
        <v>8</v>
      </c>
      <c r="G149" s="23">
        <v>4</v>
      </c>
      <c r="H149" s="23">
        <v>5</v>
      </c>
      <c r="I149" s="23">
        <v>2</v>
      </c>
    </row>
    <row r="150" spans="1:9">
      <c r="A150" s="21" t="s">
        <v>204</v>
      </c>
      <c r="B150" s="23">
        <v>2</v>
      </c>
      <c r="C150" s="23">
        <v>0</v>
      </c>
      <c r="D150" s="23">
        <v>0</v>
      </c>
      <c r="E150" s="23">
        <v>4</v>
      </c>
      <c r="F150" s="23">
        <v>1</v>
      </c>
      <c r="G150" s="23">
        <v>4</v>
      </c>
      <c r="H150" s="23">
        <v>0</v>
      </c>
      <c r="I150" s="23">
        <v>0</v>
      </c>
    </row>
    <row r="151" spans="1:9">
      <c r="A151" s="20" t="s">
        <v>205</v>
      </c>
      <c r="B151" s="23">
        <v>1</v>
      </c>
      <c r="C151" s="23">
        <v>2</v>
      </c>
      <c r="D151" s="23">
        <v>8</v>
      </c>
      <c r="E151" s="23">
        <v>6</v>
      </c>
      <c r="F151" s="23">
        <v>3</v>
      </c>
      <c r="G151" s="23">
        <v>9</v>
      </c>
      <c r="H151" s="23">
        <v>5</v>
      </c>
      <c r="I151" s="23">
        <v>4</v>
      </c>
    </row>
  </sheetData>
  <autoFilter ref="A33:I33"/>
  <phoneticPr fontId="2"/>
  <conditionalFormatting sqref="D2:F9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{5B8C75E6-3CE8-4449-8664-90277497CE8F}</x14:id>
        </ext>
      </extLst>
    </cfRule>
  </conditionalFormatting>
  <conditionalFormatting sqref="D2:F9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{F9988ACA-0AFA-4337-A5E6-3345AFE5CC4C}</x14:id>
        </ext>
      </extLst>
    </cfRule>
  </conditionalFormatting>
  <conditionalFormatting sqref="D14:F21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{BB97D2B9-2CDE-4FB8-A20C-D7F37EAACA39}</x14:id>
        </ext>
      </extLst>
    </cfRule>
  </conditionalFormatting>
  <conditionalFormatting sqref="D14:F21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{CD1F819E-B758-4BF1-98BD-A17E36EB8D37}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Spinner 1">
              <controlPr defaultSize="0" autoPict="0">
                <anchor moveWithCells="1" sizeWithCells="1">
                  <from>
                    <xdr:col>1</xdr:col>
                    <xdr:colOff>0</xdr:colOff>
                    <xdr:row>12</xdr:row>
                    <xdr:rowOff>152400</xdr:rowOff>
                  </from>
                  <to>
                    <xdr:col>1</xdr:col>
                    <xdr:colOff>323850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Spinner 2">
              <controlPr defaultSize="0" autoPict="0">
                <anchor moveWithCells="1" sizeWithCells="1">
                  <from>
                    <xdr:col>2</xdr:col>
                    <xdr:colOff>9525</xdr:colOff>
                    <xdr:row>13</xdr:row>
                    <xdr:rowOff>19050</xdr:rowOff>
                  </from>
                  <to>
                    <xdr:col>2</xdr:col>
                    <xdr:colOff>333375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Spinner 3">
              <controlPr defaultSize="0" autoPict="0">
                <anchor moveWithCells="1" sizeWithCells="1">
                  <from>
                    <xdr:col>2</xdr:col>
                    <xdr:colOff>0</xdr:colOff>
                    <xdr:row>14</xdr:row>
                    <xdr:rowOff>9525</xdr:rowOff>
                  </from>
                  <to>
                    <xdr:col>2</xdr:col>
                    <xdr:colOff>323850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Spinner 4">
              <controlPr defaultSize="0" autoPict="0">
                <anchor moveWithCells="1" sizeWithCells="1">
                  <from>
                    <xdr:col>2</xdr:col>
                    <xdr:colOff>0</xdr:colOff>
                    <xdr:row>15</xdr:row>
                    <xdr:rowOff>19050</xdr:rowOff>
                  </from>
                  <to>
                    <xdr:col>2</xdr:col>
                    <xdr:colOff>323850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Spinner 5">
              <controlPr defaultSize="0" autoPict="0">
                <anchor moveWithCells="1" siz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2</xdr:col>
                    <xdr:colOff>323850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Spinner 6">
              <controlPr defaultSize="0" autoPict="0">
                <anchor moveWithCells="1" sizeWithCells="1">
                  <from>
                    <xdr:col>2</xdr:col>
                    <xdr:colOff>9525</xdr:colOff>
                    <xdr:row>17</xdr:row>
                    <xdr:rowOff>0</xdr:rowOff>
                  </from>
                  <to>
                    <xdr:col>2</xdr:col>
                    <xdr:colOff>333375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Spinner 7">
              <controlPr defaultSize="0" autoPict="0">
                <anchor moveWithCells="1" siz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1</xdr:col>
                    <xdr:colOff>333375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Spinner 8">
              <controlPr defaultSize="0" autoPict="0">
                <anchor moveWithCells="1" sizeWithCells="1">
                  <from>
                    <xdr:col>1</xdr:col>
                    <xdr:colOff>0</xdr:colOff>
                    <xdr:row>16</xdr:row>
                    <xdr:rowOff>9525</xdr:rowOff>
                  </from>
                  <to>
                    <xdr:col>1</xdr:col>
                    <xdr:colOff>323850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Spinner 9">
              <controlPr defaultSize="0" autoPict="0">
                <anchor moveWithCells="1" siz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1</xdr:col>
                    <xdr:colOff>323850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Spinner 10">
              <controlPr defaultSize="0" autoPict="0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323850</xdr:colOff>
                    <xdr:row>14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8C75E6-3CE8-4449-8664-90277497CE8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D2:F9</xm:sqref>
        </x14:conditionalFormatting>
        <x14:conditionalFormatting xmlns:xm="http://schemas.microsoft.com/office/excel/2006/main">
          <x14:cfRule type="dataBar" id="{F9988ACA-0AFA-4337-A5E6-3345AFE5CC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D2:F9</xm:sqref>
        </x14:conditionalFormatting>
        <x14:conditionalFormatting xmlns:xm="http://schemas.microsoft.com/office/excel/2006/main">
          <x14:cfRule type="dataBar" id="{BB97D2B9-2CDE-4FB8-A20C-D7F37EAACA3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D14:F21</xm:sqref>
        </x14:conditionalFormatting>
        <x14:conditionalFormatting xmlns:xm="http://schemas.microsoft.com/office/excel/2006/main">
          <x14:cfRule type="dataBar" id="{CD1F819E-B758-4BF1-98BD-A17E36EB8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D14:F21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91"/>
  <sheetViews>
    <sheetView topLeftCell="A105" workbookViewId="0">
      <selection activeCell="A63" sqref="A63"/>
    </sheetView>
  </sheetViews>
  <sheetFormatPr defaultRowHeight="15"/>
  <cols>
    <col min="1" max="1" width="32.375" style="20" customWidth="1"/>
    <col min="2" max="12" width="6.25" style="20" customWidth="1"/>
    <col min="13" max="13" width="15.375" style="20" customWidth="1"/>
    <col min="14" max="14" width="9" style="217"/>
    <col min="15" max="15" width="11.625" style="20" customWidth="1"/>
    <col min="16" max="16" width="9" style="218" customWidth="1"/>
    <col min="17" max="18" width="9" style="218"/>
    <col min="19" max="16384" width="9" style="10"/>
  </cols>
  <sheetData>
    <row r="1" spans="1:15" ht="27.75">
      <c r="A1" s="212" t="s">
        <v>79</v>
      </c>
      <c r="B1" s="213" t="s">
        <v>80</v>
      </c>
      <c r="C1" s="213" t="s">
        <v>82</v>
      </c>
      <c r="D1" s="213"/>
      <c r="E1" s="213" t="s">
        <v>80</v>
      </c>
      <c r="F1" s="213" t="s">
        <v>82</v>
      </c>
      <c r="G1" s="214"/>
      <c r="H1" s="215" t="s">
        <v>28</v>
      </c>
      <c r="I1" s="215" t="s">
        <v>29</v>
      </c>
      <c r="J1" s="215" t="s">
        <v>30</v>
      </c>
      <c r="K1" s="215" t="s">
        <v>31</v>
      </c>
      <c r="M1" s="216" t="s">
        <v>32</v>
      </c>
      <c r="N1" s="217">
        <f>CORREL(E2:E16,F2:F16)</f>
        <v>0.57735026918962562</v>
      </c>
      <c r="O1" s="20" t="s">
        <v>33</v>
      </c>
    </row>
    <row r="2" spans="1:15">
      <c r="A2" s="21" t="s">
        <v>34</v>
      </c>
      <c r="B2" s="23">
        <v>5</v>
      </c>
      <c r="C2" s="23">
        <v>10</v>
      </c>
      <c r="E2" s="20">
        <f>IF(B2&gt;$F$17, 1, 0)</f>
        <v>1</v>
      </c>
      <c r="F2" s="20">
        <f t="shared" ref="F2:F16" si="0">IF(C2&gt;$F$17, 1, 0)</f>
        <v>1</v>
      </c>
      <c r="H2" s="20">
        <f>IF(AND($E2=1, $F2=1), 1, 0)</f>
        <v>1</v>
      </c>
      <c r="I2" s="20">
        <f>IF(AND($E2=1, $F2=0), 1, 0)</f>
        <v>0</v>
      </c>
      <c r="J2" s="20">
        <f>IF(AND($E2=0, $F2=1), 1, 0)</f>
        <v>0</v>
      </c>
      <c r="K2" s="20">
        <f>IF(AND($E2=0, $F2=0), 1, 0)</f>
        <v>0</v>
      </c>
    </row>
    <row r="3" spans="1:15">
      <c r="A3" s="21" t="s">
        <v>35</v>
      </c>
      <c r="B3" s="23">
        <v>9</v>
      </c>
      <c r="C3" s="23">
        <v>6</v>
      </c>
      <c r="E3" s="20">
        <f t="shared" ref="E3:E16" si="1">IF(B3&gt;$F$17, 1, 0)</f>
        <v>1</v>
      </c>
      <c r="F3" s="20">
        <f t="shared" si="0"/>
        <v>1</v>
      </c>
      <c r="H3" s="20">
        <f t="shared" ref="H3:H16" si="2">IF(AND($E3=1, $F3=1), 1, 0)</f>
        <v>1</v>
      </c>
      <c r="I3" s="20">
        <f t="shared" ref="I3:I16" si="3">IF(AND($E3=1, $F3=0), 1, 0)</f>
        <v>0</v>
      </c>
      <c r="J3" s="20">
        <f t="shared" ref="J3:J16" si="4">IF(AND($E3=0, $F3=1), 1, 0)</f>
        <v>0</v>
      </c>
      <c r="K3" s="20">
        <f t="shared" ref="K3:K16" si="5">IF(AND($E3=0, $F3=0), 1, 0)</f>
        <v>0</v>
      </c>
    </row>
    <row r="4" spans="1:15">
      <c r="A4" s="21" t="s">
        <v>36</v>
      </c>
      <c r="B4" s="23">
        <v>0</v>
      </c>
      <c r="C4" s="23">
        <v>0</v>
      </c>
      <c r="E4" s="20">
        <f t="shared" si="1"/>
        <v>0</v>
      </c>
      <c r="F4" s="20">
        <f t="shared" si="0"/>
        <v>0</v>
      </c>
      <c r="H4" s="20">
        <f t="shared" si="2"/>
        <v>0</v>
      </c>
      <c r="I4" s="20">
        <f t="shared" si="3"/>
        <v>0</v>
      </c>
      <c r="J4" s="20">
        <f t="shared" si="4"/>
        <v>0</v>
      </c>
      <c r="K4" s="20">
        <f t="shared" si="5"/>
        <v>1</v>
      </c>
    </row>
    <row r="5" spans="1:15">
      <c r="A5" s="21" t="s">
        <v>37</v>
      </c>
      <c r="B5" s="23">
        <v>1</v>
      </c>
      <c r="C5" s="23">
        <v>0</v>
      </c>
      <c r="E5" s="20">
        <f t="shared" si="1"/>
        <v>0</v>
      </c>
      <c r="F5" s="20">
        <f t="shared" si="0"/>
        <v>0</v>
      </c>
      <c r="H5" s="20">
        <f t="shared" si="2"/>
        <v>0</v>
      </c>
      <c r="I5" s="20">
        <f t="shared" si="3"/>
        <v>0</v>
      </c>
      <c r="J5" s="20">
        <f t="shared" si="4"/>
        <v>0</v>
      </c>
      <c r="K5" s="20">
        <f t="shared" si="5"/>
        <v>1</v>
      </c>
    </row>
    <row r="6" spans="1:15">
      <c r="A6" s="21" t="s">
        <v>38</v>
      </c>
      <c r="B6" s="23">
        <v>2</v>
      </c>
      <c r="C6" s="23">
        <v>0</v>
      </c>
      <c r="E6" s="20">
        <f t="shared" si="1"/>
        <v>1</v>
      </c>
      <c r="F6" s="20">
        <f t="shared" si="0"/>
        <v>0</v>
      </c>
      <c r="H6" s="20">
        <f t="shared" si="2"/>
        <v>0</v>
      </c>
      <c r="I6" s="20">
        <f t="shared" si="3"/>
        <v>1</v>
      </c>
      <c r="J6" s="20">
        <f t="shared" si="4"/>
        <v>0</v>
      </c>
      <c r="K6" s="20">
        <f t="shared" si="5"/>
        <v>0</v>
      </c>
    </row>
    <row r="7" spans="1:15">
      <c r="A7" s="21" t="s">
        <v>39</v>
      </c>
      <c r="B7" s="23">
        <v>0</v>
      </c>
      <c r="C7" s="23">
        <v>1</v>
      </c>
      <c r="E7" s="20">
        <f t="shared" si="1"/>
        <v>0</v>
      </c>
      <c r="F7" s="20">
        <f t="shared" si="0"/>
        <v>0</v>
      </c>
      <c r="H7" s="20">
        <f t="shared" si="2"/>
        <v>0</v>
      </c>
      <c r="I7" s="20">
        <f t="shared" si="3"/>
        <v>0</v>
      </c>
      <c r="J7" s="20">
        <f t="shared" si="4"/>
        <v>0</v>
      </c>
      <c r="K7" s="20">
        <f t="shared" si="5"/>
        <v>1</v>
      </c>
    </row>
    <row r="8" spans="1:15">
      <c r="A8" s="21" t="s">
        <v>40</v>
      </c>
      <c r="B8" s="23">
        <v>2</v>
      </c>
      <c r="C8" s="23">
        <v>3</v>
      </c>
      <c r="E8" s="20">
        <f t="shared" si="1"/>
        <v>1</v>
      </c>
      <c r="F8" s="20">
        <f t="shared" si="0"/>
        <v>1</v>
      </c>
      <c r="H8" s="20">
        <f t="shared" si="2"/>
        <v>1</v>
      </c>
      <c r="I8" s="20">
        <f t="shared" si="3"/>
        <v>0</v>
      </c>
      <c r="J8" s="20">
        <f t="shared" si="4"/>
        <v>0</v>
      </c>
      <c r="K8" s="20">
        <f t="shared" si="5"/>
        <v>0</v>
      </c>
    </row>
    <row r="9" spans="1:15">
      <c r="A9" s="21" t="s">
        <v>41</v>
      </c>
      <c r="B9" s="23">
        <v>0</v>
      </c>
      <c r="C9" s="23">
        <v>0</v>
      </c>
      <c r="E9" s="20">
        <f t="shared" si="1"/>
        <v>0</v>
      </c>
      <c r="F9" s="20">
        <f t="shared" si="0"/>
        <v>0</v>
      </c>
      <c r="H9" s="20">
        <f t="shared" si="2"/>
        <v>0</v>
      </c>
      <c r="I9" s="20">
        <f t="shared" si="3"/>
        <v>0</v>
      </c>
      <c r="J9" s="20">
        <f t="shared" si="4"/>
        <v>0</v>
      </c>
      <c r="K9" s="20">
        <f t="shared" si="5"/>
        <v>1</v>
      </c>
    </row>
    <row r="10" spans="1:15">
      <c r="A10" s="21" t="s">
        <v>42</v>
      </c>
      <c r="B10" s="23">
        <v>0</v>
      </c>
      <c r="C10" s="23">
        <v>0</v>
      </c>
      <c r="E10" s="20">
        <f t="shared" si="1"/>
        <v>0</v>
      </c>
      <c r="F10" s="20">
        <f t="shared" si="0"/>
        <v>0</v>
      </c>
      <c r="H10" s="20">
        <f t="shared" si="2"/>
        <v>0</v>
      </c>
      <c r="I10" s="20">
        <f t="shared" si="3"/>
        <v>0</v>
      </c>
      <c r="J10" s="20">
        <f t="shared" si="4"/>
        <v>0</v>
      </c>
      <c r="K10" s="20">
        <f t="shared" si="5"/>
        <v>1</v>
      </c>
    </row>
    <row r="11" spans="1:15">
      <c r="A11" s="21" t="s">
        <v>43</v>
      </c>
      <c r="B11" s="23">
        <v>0</v>
      </c>
      <c r="C11" s="23">
        <v>0</v>
      </c>
      <c r="E11" s="20">
        <f t="shared" si="1"/>
        <v>0</v>
      </c>
      <c r="F11" s="20">
        <f t="shared" si="0"/>
        <v>0</v>
      </c>
      <c r="H11" s="20">
        <f t="shared" si="2"/>
        <v>0</v>
      </c>
      <c r="I11" s="20">
        <f t="shared" si="3"/>
        <v>0</v>
      </c>
      <c r="J11" s="20">
        <f t="shared" si="4"/>
        <v>0</v>
      </c>
      <c r="K11" s="20">
        <f t="shared" si="5"/>
        <v>1</v>
      </c>
    </row>
    <row r="12" spans="1:15">
      <c r="A12" s="21" t="s">
        <v>44</v>
      </c>
      <c r="B12" s="23">
        <v>3</v>
      </c>
      <c r="C12" s="23">
        <v>6</v>
      </c>
      <c r="E12" s="20">
        <f t="shared" si="1"/>
        <v>1</v>
      </c>
      <c r="F12" s="20">
        <f t="shared" si="0"/>
        <v>1</v>
      </c>
      <c r="H12" s="20">
        <f t="shared" si="2"/>
        <v>1</v>
      </c>
      <c r="I12" s="20">
        <f t="shared" si="3"/>
        <v>0</v>
      </c>
      <c r="J12" s="20">
        <f t="shared" si="4"/>
        <v>0</v>
      </c>
      <c r="K12" s="20">
        <f t="shared" si="5"/>
        <v>0</v>
      </c>
    </row>
    <row r="13" spans="1:15">
      <c r="A13" s="21" t="s">
        <v>45</v>
      </c>
      <c r="B13" s="23">
        <v>5</v>
      </c>
      <c r="C13" s="23">
        <v>0</v>
      </c>
      <c r="E13" s="20">
        <f t="shared" si="1"/>
        <v>1</v>
      </c>
      <c r="F13" s="20">
        <f t="shared" si="0"/>
        <v>0</v>
      </c>
      <c r="H13" s="20">
        <f t="shared" si="2"/>
        <v>0</v>
      </c>
      <c r="I13" s="20">
        <f t="shared" si="3"/>
        <v>1</v>
      </c>
      <c r="J13" s="20">
        <f t="shared" si="4"/>
        <v>0</v>
      </c>
      <c r="K13" s="20">
        <f t="shared" si="5"/>
        <v>0</v>
      </c>
    </row>
    <row r="14" spans="1:15">
      <c r="A14" s="21" t="s">
        <v>46</v>
      </c>
      <c r="B14" s="23">
        <v>0</v>
      </c>
      <c r="C14" s="23">
        <v>0</v>
      </c>
      <c r="E14" s="20">
        <f t="shared" si="1"/>
        <v>0</v>
      </c>
      <c r="F14" s="20">
        <f t="shared" si="0"/>
        <v>0</v>
      </c>
      <c r="H14" s="20">
        <f t="shared" si="2"/>
        <v>0</v>
      </c>
      <c r="I14" s="20">
        <f t="shared" si="3"/>
        <v>0</v>
      </c>
      <c r="J14" s="20">
        <f t="shared" si="4"/>
        <v>0</v>
      </c>
      <c r="K14" s="20">
        <f t="shared" si="5"/>
        <v>1</v>
      </c>
    </row>
    <row r="15" spans="1:15">
      <c r="A15" s="21" t="s">
        <v>47</v>
      </c>
      <c r="B15" s="23">
        <v>0</v>
      </c>
      <c r="C15" s="23">
        <v>0</v>
      </c>
      <c r="E15" s="20">
        <f t="shared" si="1"/>
        <v>0</v>
      </c>
      <c r="F15" s="20">
        <f t="shared" si="0"/>
        <v>0</v>
      </c>
      <c r="H15" s="20">
        <f t="shared" si="2"/>
        <v>0</v>
      </c>
      <c r="I15" s="20">
        <f t="shared" si="3"/>
        <v>0</v>
      </c>
      <c r="J15" s="20">
        <f t="shared" si="4"/>
        <v>0</v>
      </c>
      <c r="K15" s="20">
        <f t="shared" si="5"/>
        <v>1</v>
      </c>
    </row>
    <row r="16" spans="1:15">
      <c r="A16" s="21" t="s">
        <v>48</v>
      </c>
      <c r="B16" s="23">
        <v>0</v>
      </c>
      <c r="C16" s="23">
        <v>6</v>
      </c>
      <c r="E16" s="20">
        <f t="shared" si="1"/>
        <v>0</v>
      </c>
      <c r="F16" s="20">
        <f t="shared" si="0"/>
        <v>1</v>
      </c>
      <c r="H16" s="20">
        <f t="shared" si="2"/>
        <v>0</v>
      </c>
      <c r="I16" s="20">
        <f t="shared" si="3"/>
        <v>0</v>
      </c>
      <c r="J16" s="20">
        <f t="shared" si="4"/>
        <v>1</v>
      </c>
      <c r="K16" s="20">
        <f t="shared" si="5"/>
        <v>0</v>
      </c>
    </row>
    <row r="17" spans="1:15" ht="27.75" customHeight="1">
      <c r="D17" s="385" t="s">
        <v>447</v>
      </c>
      <c r="E17" s="385"/>
      <c r="F17" s="219">
        <v>1</v>
      </c>
      <c r="G17" s="220" t="s">
        <v>448</v>
      </c>
      <c r="H17" s="220">
        <f>SUM(H2:H16)</f>
        <v>4</v>
      </c>
      <c r="I17" s="220">
        <f>SUM(I2:I16)</f>
        <v>2</v>
      </c>
      <c r="J17" s="220">
        <f>SUM(J2:J16)</f>
        <v>1</v>
      </c>
      <c r="K17" s="220">
        <f>SUM(K2:K16)</f>
        <v>8</v>
      </c>
      <c r="M17" s="221" t="s">
        <v>449</v>
      </c>
    </row>
    <row r="19" spans="1:15">
      <c r="M19" s="222" t="s">
        <v>49</v>
      </c>
      <c r="N19" s="217">
        <f>H17</f>
        <v>4</v>
      </c>
      <c r="O19" s="20" t="s">
        <v>50</v>
      </c>
    </row>
    <row r="20" spans="1:15">
      <c r="I20" s="215" t="s">
        <v>28</v>
      </c>
      <c r="J20" s="215" t="s">
        <v>29</v>
      </c>
      <c r="M20" s="222" t="s">
        <v>51</v>
      </c>
      <c r="N20" s="217">
        <f>(H17+K17)/(H17+I17+J17+K17)</f>
        <v>0.8</v>
      </c>
      <c r="O20" s="20" t="s">
        <v>52</v>
      </c>
    </row>
    <row r="21" spans="1:15">
      <c r="I21" s="20">
        <f>H17</f>
        <v>4</v>
      </c>
      <c r="J21" s="20">
        <f>I17</f>
        <v>2</v>
      </c>
      <c r="M21" s="222" t="s">
        <v>53</v>
      </c>
      <c r="N21" s="217">
        <f>H17/(H17+I17+J17+K17)</f>
        <v>0.26666666666666666</v>
      </c>
      <c r="O21" s="20" t="s">
        <v>54</v>
      </c>
    </row>
    <row r="22" spans="1:15">
      <c r="I22" s="215" t="s">
        <v>30</v>
      </c>
      <c r="J22" s="215" t="s">
        <v>31</v>
      </c>
      <c r="M22" s="222" t="s">
        <v>55</v>
      </c>
      <c r="N22" s="217">
        <f>H17/(H17+I17+J17)</f>
        <v>0.5714285714285714</v>
      </c>
      <c r="O22" s="20" t="s">
        <v>56</v>
      </c>
    </row>
    <row r="23" spans="1:15">
      <c r="I23" s="20">
        <f>J17</f>
        <v>1</v>
      </c>
      <c r="J23" s="20">
        <f>K17</f>
        <v>8</v>
      </c>
      <c r="M23" s="222" t="s">
        <v>339</v>
      </c>
      <c r="N23" s="217">
        <f>(H17*2)/(H17*2+I17+J17)</f>
        <v>0.72727272727272729</v>
      </c>
      <c r="O23" s="20" t="s">
        <v>340</v>
      </c>
    </row>
    <row r="24" spans="1:15">
      <c r="M24" s="222" t="s">
        <v>57</v>
      </c>
      <c r="N24" s="217">
        <f>((H17*K17)-(I17*J17))/((H17*K17)+(I17*J17))</f>
        <v>0.88235294117647056</v>
      </c>
      <c r="O24" s="20" t="s">
        <v>58</v>
      </c>
    </row>
    <row r="25" spans="1:15">
      <c r="M25" s="222" t="s">
        <v>59</v>
      </c>
      <c r="N25" s="217">
        <f>((H17+K17)-(I17+J17))/((H17+K17)+(I17+J17))</f>
        <v>0.6</v>
      </c>
      <c r="O25" s="20" t="s">
        <v>60</v>
      </c>
    </row>
    <row r="26" spans="1:15">
      <c r="M26" s="222" t="s">
        <v>61</v>
      </c>
      <c r="N26" s="217">
        <f>((H17*K17)-(I17*J17))/SQRT((H17+I17)*(H17+J17)*(I17+K17)*(J17+K17))</f>
        <v>0.57735026918962573</v>
      </c>
      <c r="O26" s="20" t="s">
        <v>62</v>
      </c>
    </row>
    <row r="27" spans="1:15">
      <c r="M27" s="222" t="s">
        <v>63</v>
      </c>
      <c r="N27" s="217">
        <f>H17/SQRT((H17+I17)*(H17+J17))</f>
        <v>0.73029674334022143</v>
      </c>
      <c r="O27" s="20" t="s">
        <v>64</v>
      </c>
    </row>
    <row r="28" spans="1:15">
      <c r="M28" s="216" t="s">
        <v>338</v>
      </c>
      <c r="N28" s="217">
        <f>(2*H17-I17-J17)/(2*H17+I17+J17)</f>
        <v>0.45454545454545453</v>
      </c>
      <c r="O28" s="20" t="s">
        <v>336</v>
      </c>
    </row>
    <row r="29" spans="1:15">
      <c r="M29" s="218"/>
      <c r="N29" s="218"/>
      <c r="O29" s="218"/>
    </row>
    <row r="32" spans="1:15">
      <c r="A32" s="20" t="s">
        <v>450</v>
      </c>
      <c r="G32" s="220" t="s">
        <v>448</v>
      </c>
      <c r="H32" s="220">
        <v>5</v>
      </c>
      <c r="I32" s="220">
        <v>7</v>
      </c>
      <c r="J32" s="220">
        <v>3</v>
      </c>
      <c r="K32" s="220">
        <v>4</v>
      </c>
    </row>
    <row r="33" spans="1:15" ht="29.25" customHeight="1">
      <c r="M33" s="222" t="s">
        <v>65</v>
      </c>
      <c r="N33" s="217">
        <f>H32</f>
        <v>5</v>
      </c>
      <c r="O33" s="20" t="s">
        <v>66</v>
      </c>
    </row>
    <row r="34" spans="1:15">
      <c r="M34" s="222" t="s">
        <v>51</v>
      </c>
      <c r="N34" s="217">
        <f>(H32+K32)/(H32+I32+J32+K32)</f>
        <v>0.47368421052631576</v>
      </c>
      <c r="O34" s="20" t="s">
        <v>67</v>
      </c>
    </row>
    <row r="35" spans="1:15">
      <c r="I35" s="215" t="s">
        <v>28</v>
      </c>
      <c r="J35" s="215" t="s">
        <v>29</v>
      </c>
      <c r="M35" s="222" t="s">
        <v>53</v>
      </c>
      <c r="N35" s="217">
        <f>H32/(H32+I32+J32+K32)</f>
        <v>0.26315789473684209</v>
      </c>
      <c r="O35" s="20" t="s">
        <v>68</v>
      </c>
    </row>
    <row r="36" spans="1:15">
      <c r="I36" s="20">
        <f>H32</f>
        <v>5</v>
      </c>
      <c r="J36" s="20">
        <f>I32</f>
        <v>7</v>
      </c>
      <c r="M36" s="222" t="s">
        <v>55</v>
      </c>
      <c r="N36" s="217">
        <f>H32/(H32+I32+J32)</f>
        <v>0.33333333333333331</v>
      </c>
      <c r="O36" s="20" t="s">
        <v>69</v>
      </c>
    </row>
    <row r="37" spans="1:15">
      <c r="I37" s="215" t="s">
        <v>30</v>
      </c>
      <c r="J37" s="215" t="s">
        <v>31</v>
      </c>
      <c r="M37" s="222" t="s">
        <v>341</v>
      </c>
      <c r="N37" s="217">
        <f>H32*2/(H32*2+I32+J32)</f>
        <v>0.5</v>
      </c>
      <c r="O37" s="20" t="s">
        <v>340</v>
      </c>
    </row>
    <row r="38" spans="1:15">
      <c r="I38" s="20">
        <f>J32</f>
        <v>3</v>
      </c>
      <c r="J38" s="20">
        <f>K32</f>
        <v>4</v>
      </c>
      <c r="M38" s="222" t="s">
        <v>57</v>
      </c>
      <c r="N38" s="217">
        <f>((H32*K32)-(I32*J32))/((H32*K32)+(I32*J32))</f>
        <v>-2.4390243902439025E-2</v>
      </c>
      <c r="O38" s="20" t="s">
        <v>70</v>
      </c>
    </row>
    <row r="39" spans="1:15">
      <c r="M39" s="222" t="s">
        <v>59</v>
      </c>
      <c r="N39" s="217">
        <f>((H32+K32)-(I32+J32))/((H32+K32)+(I32+J32))</f>
        <v>-5.2631578947368418E-2</v>
      </c>
      <c r="O39" s="20" t="s">
        <v>71</v>
      </c>
    </row>
    <row r="40" spans="1:15">
      <c r="M40" s="222" t="s">
        <v>61</v>
      </c>
      <c r="N40" s="217">
        <f>((H32*K32)-(I32*J32))/SQRT((H32+I32)*(H32+J32)*(I32+K32)*(J32+K32))</f>
        <v>-1.1631052629980886E-2</v>
      </c>
      <c r="O40" s="20" t="s">
        <v>72</v>
      </c>
    </row>
    <row r="41" spans="1:15">
      <c r="M41" s="222" t="s">
        <v>63</v>
      </c>
      <c r="N41" s="217">
        <f>H32/SQRT((H32+I32)*(H32+J32))</f>
        <v>0.5103103630798288</v>
      </c>
      <c r="O41" s="20" t="s">
        <v>73</v>
      </c>
    </row>
    <row r="42" spans="1:15">
      <c r="M42" s="216" t="s">
        <v>338</v>
      </c>
      <c r="N42" s="217">
        <f>(2*H32-I32-J32)/(2*H32+I32+J32)</f>
        <v>0</v>
      </c>
      <c r="O42" s="20" t="s">
        <v>337</v>
      </c>
    </row>
    <row r="45" spans="1:15">
      <c r="A45" s="20" t="s">
        <v>451</v>
      </c>
    </row>
    <row r="46" spans="1:15">
      <c r="A46" s="372" t="s">
        <v>614</v>
      </c>
      <c r="B46" s="373">
        <v>0</v>
      </c>
      <c r="C46" s="373">
        <v>1</v>
      </c>
      <c r="D46" s="373">
        <v>2</v>
      </c>
      <c r="E46" s="373">
        <v>3</v>
      </c>
      <c r="F46" s="373">
        <v>4</v>
      </c>
      <c r="G46" s="373">
        <v>5</v>
      </c>
      <c r="H46" s="373">
        <v>6</v>
      </c>
      <c r="I46" s="373">
        <v>7</v>
      </c>
      <c r="J46" s="373">
        <v>8</v>
      </c>
      <c r="K46" s="373">
        <v>9</v>
      </c>
      <c r="L46" s="374">
        <v>10</v>
      </c>
    </row>
    <row r="47" spans="1:15" ht="27.75" customHeight="1">
      <c r="A47" s="375" t="s">
        <v>612</v>
      </c>
      <c r="B47" s="25">
        <v>4</v>
      </c>
      <c r="C47" s="25">
        <f>$B47</f>
        <v>4</v>
      </c>
      <c r="D47" s="25">
        <f t="shared" ref="D47:L49" si="6">$B47</f>
        <v>4</v>
      </c>
      <c r="E47" s="25">
        <f t="shared" si="6"/>
        <v>4</v>
      </c>
      <c r="F47" s="25">
        <f t="shared" si="6"/>
        <v>4</v>
      </c>
      <c r="G47" s="25">
        <f t="shared" si="6"/>
        <v>4</v>
      </c>
      <c r="H47" s="25">
        <f t="shared" si="6"/>
        <v>4</v>
      </c>
      <c r="I47" s="25">
        <f t="shared" si="6"/>
        <v>4</v>
      </c>
      <c r="J47" s="25">
        <f t="shared" si="6"/>
        <v>4</v>
      </c>
      <c r="K47" s="25">
        <f t="shared" si="6"/>
        <v>4</v>
      </c>
      <c r="L47" s="376">
        <f t="shared" si="6"/>
        <v>4</v>
      </c>
    </row>
    <row r="48" spans="1:15" ht="27.75" customHeight="1">
      <c r="A48" s="375" t="s">
        <v>613</v>
      </c>
      <c r="B48" s="25">
        <v>6</v>
      </c>
      <c r="C48" s="25">
        <f>$B48</f>
        <v>6</v>
      </c>
      <c r="D48" s="25">
        <f t="shared" si="6"/>
        <v>6</v>
      </c>
      <c r="E48" s="25">
        <f t="shared" si="6"/>
        <v>6</v>
      </c>
      <c r="F48" s="25">
        <f t="shared" si="6"/>
        <v>6</v>
      </c>
      <c r="G48" s="25">
        <f t="shared" si="6"/>
        <v>6</v>
      </c>
      <c r="H48" s="25">
        <f t="shared" si="6"/>
        <v>6</v>
      </c>
      <c r="I48" s="25">
        <f t="shared" si="6"/>
        <v>6</v>
      </c>
      <c r="J48" s="25">
        <f t="shared" si="6"/>
        <v>6</v>
      </c>
      <c r="K48" s="25">
        <f t="shared" si="6"/>
        <v>6</v>
      </c>
      <c r="L48" s="376">
        <f t="shared" si="6"/>
        <v>6</v>
      </c>
    </row>
    <row r="49" spans="1:18" ht="27.75" customHeight="1">
      <c r="A49" s="377" t="s">
        <v>615</v>
      </c>
      <c r="B49" s="378">
        <v>8</v>
      </c>
      <c r="C49" s="378">
        <f>$B49</f>
        <v>8</v>
      </c>
      <c r="D49" s="378">
        <f t="shared" si="6"/>
        <v>8</v>
      </c>
      <c r="E49" s="378">
        <f t="shared" si="6"/>
        <v>8</v>
      </c>
      <c r="F49" s="378">
        <f t="shared" si="6"/>
        <v>8</v>
      </c>
      <c r="G49" s="378">
        <f t="shared" si="6"/>
        <v>8</v>
      </c>
      <c r="H49" s="378">
        <f t="shared" si="6"/>
        <v>8</v>
      </c>
      <c r="I49" s="378">
        <f t="shared" si="6"/>
        <v>8</v>
      </c>
      <c r="J49" s="378">
        <f t="shared" si="6"/>
        <v>8</v>
      </c>
      <c r="K49" s="378">
        <f t="shared" si="6"/>
        <v>8</v>
      </c>
      <c r="L49" s="379">
        <f t="shared" si="6"/>
        <v>8</v>
      </c>
    </row>
    <row r="50" spans="1:18" ht="30">
      <c r="A50" s="380" t="s">
        <v>616</v>
      </c>
      <c r="B50" s="381">
        <f>(B$46+B$49)/SUM(B$46:B$49)</f>
        <v>0.44444444444444442</v>
      </c>
      <c r="C50" s="381">
        <f t="shared" ref="C50:L50" si="7">(C$46+C$49)/SUM(C$46:C$49)</f>
        <v>0.47368421052631576</v>
      </c>
      <c r="D50" s="381">
        <f t="shared" si="7"/>
        <v>0.5</v>
      </c>
      <c r="E50" s="381">
        <f t="shared" si="7"/>
        <v>0.52380952380952384</v>
      </c>
      <c r="F50" s="381">
        <f t="shared" si="7"/>
        <v>0.54545454545454541</v>
      </c>
      <c r="G50" s="381">
        <f t="shared" si="7"/>
        <v>0.56521739130434778</v>
      </c>
      <c r="H50" s="381">
        <f t="shared" si="7"/>
        <v>0.58333333333333337</v>
      </c>
      <c r="I50" s="381">
        <f t="shared" si="7"/>
        <v>0.6</v>
      </c>
      <c r="J50" s="381">
        <f t="shared" si="7"/>
        <v>0.61538461538461542</v>
      </c>
      <c r="K50" s="381">
        <f t="shared" si="7"/>
        <v>0.62962962962962965</v>
      </c>
      <c r="L50" s="381">
        <f t="shared" si="7"/>
        <v>0.6428571428571429</v>
      </c>
    </row>
    <row r="51" spans="1:18" ht="30">
      <c r="A51" s="380" t="s">
        <v>617</v>
      </c>
      <c r="B51" s="381">
        <f>B$46/SUM(B$46:B$49)</f>
        <v>0</v>
      </c>
      <c r="C51" s="381">
        <f t="shared" ref="C51:L51" si="8">C$46/SUM(C$46:C$49)</f>
        <v>5.2631578947368418E-2</v>
      </c>
      <c r="D51" s="381">
        <f t="shared" si="8"/>
        <v>0.1</v>
      </c>
      <c r="E51" s="381">
        <f t="shared" si="8"/>
        <v>0.14285714285714285</v>
      </c>
      <c r="F51" s="381">
        <f t="shared" si="8"/>
        <v>0.18181818181818182</v>
      </c>
      <c r="G51" s="381">
        <f t="shared" si="8"/>
        <v>0.21739130434782608</v>
      </c>
      <c r="H51" s="381">
        <f t="shared" si="8"/>
        <v>0.25</v>
      </c>
      <c r="I51" s="381">
        <f t="shared" si="8"/>
        <v>0.28000000000000003</v>
      </c>
      <c r="J51" s="381">
        <f t="shared" si="8"/>
        <v>0.30769230769230771</v>
      </c>
      <c r="K51" s="381">
        <f t="shared" si="8"/>
        <v>0.33333333333333331</v>
      </c>
      <c r="L51" s="381">
        <f t="shared" si="8"/>
        <v>0.35714285714285715</v>
      </c>
    </row>
    <row r="52" spans="1:18" ht="30">
      <c r="A52" s="380" t="s">
        <v>618</v>
      </c>
      <c r="B52" s="384">
        <f t="shared" ref="B52:L52" si="9">B$46/(B$46+B$47+B$48)</f>
        <v>0</v>
      </c>
      <c r="C52" s="384">
        <f t="shared" si="9"/>
        <v>9.0909090909090912E-2</v>
      </c>
      <c r="D52" s="384">
        <f t="shared" si="9"/>
        <v>0.16666666666666666</v>
      </c>
      <c r="E52" s="384">
        <f t="shared" si="9"/>
        <v>0.23076923076923078</v>
      </c>
      <c r="F52" s="384">
        <f t="shared" si="9"/>
        <v>0.2857142857142857</v>
      </c>
      <c r="G52" s="384">
        <f t="shared" si="9"/>
        <v>0.33333333333333331</v>
      </c>
      <c r="H52" s="384">
        <f t="shared" si="9"/>
        <v>0.375</v>
      </c>
      <c r="I52" s="384">
        <f t="shared" si="9"/>
        <v>0.41176470588235292</v>
      </c>
      <c r="J52" s="384">
        <f t="shared" si="9"/>
        <v>0.44444444444444442</v>
      </c>
      <c r="K52" s="384">
        <f t="shared" si="9"/>
        <v>0.47368421052631576</v>
      </c>
      <c r="L52" s="384">
        <f t="shared" si="9"/>
        <v>0.5</v>
      </c>
    </row>
    <row r="53" spans="1:18" ht="30">
      <c r="A53" s="380" t="s">
        <v>619</v>
      </c>
      <c r="B53" s="381">
        <f>(B$46*2)/(B$46*2+B$47+B$48)</f>
        <v>0</v>
      </c>
      <c r="C53" s="381">
        <f t="shared" ref="C53:L53" si="10">(C$46*2)/(C$46*2+C$47+C$48)</f>
        <v>0.16666666666666666</v>
      </c>
      <c r="D53" s="381">
        <f t="shared" si="10"/>
        <v>0.2857142857142857</v>
      </c>
      <c r="E53" s="381">
        <f t="shared" si="10"/>
        <v>0.375</v>
      </c>
      <c r="F53" s="381">
        <f t="shared" si="10"/>
        <v>0.44444444444444442</v>
      </c>
      <c r="G53" s="381">
        <f t="shared" si="10"/>
        <v>0.5</v>
      </c>
      <c r="H53" s="381">
        <f t="shared" si="10"/>
        <v>0.54545454545454541</v>
      </c>
      <c r="I53" s="381">
        <f t="shared" si="10"/>
        <v>0.58333333333333337</v>
      </c>
      <c r="J53" s="381">
        <f t="shared" si="10"/>
        <v>0.61538461538461542</v>
      </c>
      <c r="K53" s="381">
        <f t="shared" si="10"/>
        <v>0.6428571428571429</v>
      </c>
      <c r="L53" s="381">
        <f t="shared" si="10"/>
        <v>0.66666666666666663</v>
      </c>
    </row>
    <row r="54" spans="1:18" ht="30">
      <c r="A54" s="380" t="s">
        <v>620</v>
      </c>
      <c r="B54" s="381">
        <f>(B$46*B$49-B$47*B$48)/(B$46*B$49+B$47*B$48)</f>
        <v>-1</v>
      </c>
      <c r="C54" s="381">
        <f t="shared" ref="C54:L54" si="11">(C$46*C$49-C$47*C$48)/(C$46*C$49+C$47*C$48)</f>
        <v>-0.5</v>
      </c>
      <c r="D54" s="381">
        <f t="shared" si="11"/>
        <v>-0.2</v>
      </c>
      <c r="E54" s="381">
        <f t="shared" si="11"/>
        <v>0</v>
      </c>
      <c r="F54" s="381">
        <f t="shared" si="11"/>
        <v>0.14285714285714285</v>
      </c>
      <c r="G54" s="381">
        <f t="shared" si="11"/>
        <v>0.25</v>
      </c>
      <c r="H54" s="381">
        <f t="shared" si="11"/>
        <v>0.33333333333333331</v>
      </c>
      <c r="I54" s="381">
        <f t="shared" si="11"/>
        <v>0.4</v>
      </c>
      <c r="J54" s="381">
        <f t="shared" si="11"/>
        <v>0.45454545454545453</v>
      </c>
      <c r="K54" s="381">
        <f t="shared" si="11"/>
        <v>0.5</v>
      </c>
      <c r="L54" s="381">
        <f t="shared" si="11"/>
        <v>0.53846153846153844</v>
      </c>
    </row>
    <row r="55" spans="1:18" ht="30">
      <c r="A55" s="380" t="s">
        <v>622</v>
      </c>
      <c r="B55" s="381">
        <f>((B$46+B$49)-(B$47+B$48))/SUM(B$46:B$49)</f>
        <v>-0.1111111111111111</v>
      </c>
      <c r="C55" s="381">
        <f t="shared" ref="C55:L55" si="12">((C$46+C$49)-(C$47+C$48))/SUM(C$46:C$49)</f>
        <v>-5.2631578947368418E-2</v>
      </c>
      <c r="D55" s="381">
        <f t="shared" si="12"/>
        <v>0</v>
      </c>
      <c r="E55" s="381">
        <f t="shared" si="12"/>
        <v>4.7619047619047616E-2</v>
      </c>
      <c r="F55" s="381">
        <f t="shared" si="12"/>
        <v>9.0909090909090912E-2</v>
      </c>
      <c r="G55" s="381">
        <f t="shared" si="12"/>
        <v>0.13043478260869565</v>
      </c>
      <c r="H55" s="381">
        <f t="shared" si="12"/>
        <v>0.16666666666666666</v>
      </c>
      <c r="I55" s="381">
        <f t="shared" si="12"/>
        <v>0.2</v>
      </c>
      <c r="J55" s="381">
        <f t="shared" si="12"/>
        <v>0.23076923076923078</v>
      </c>
      <c r="K55" s="381">
        <f t="shared" si="12"/>
        <v>0.25925925925925924</v>
      </c>
      <c r="L55" s="381">
        <f t="shared" si="12"/>
        <v>0.2857142857142857</v>
      </c>
    </row>
    <row r="56" spans="1:18" ht="30">
      <c r="A56" s="380" t="s">
        <v>621</v>
      </c>
      <c r="B56" s="381">
        <f>(B$46*B$49-B$47*B$48)/SQRT((B$46+B$47)*(B$46+B$48)*(B$49+B$47)*(B$49+B$48))</f>
        <v>-0.3779644730092272</v>
      </c>
      <c r="C56" s="381">
        <f t="shared" ref="C56:L56" si="13">(C$46*C$49-C$47*C$48)/SQRT((C$46+C$47)*(C$46+C$48)*(C$49+C$47)*(C$49+C$48))</f>
        <v>-0.20865621238292043</v>
      </c>
      <c r="D56" s="381">
        <f t="shared" si="13"/>
        <v>-8.9087080637474794E-2</v>
      </c>
      <c r="E56" s="381">
        <f t="shared" si="13"/>
        <v>0</v>
      </c>
      <c r="F56" s="381">
        <f t="shared" si="13"/>
        <v>6.9006555934235422E-2</v>
      </c>
      <c r="G56" s="381">
        <f t="shared" si="13"/>
        <v>0.12406456138646277</v>
      </c>
      <c r="H56" s="381">
        <f t="shared" si="13"/>
        <v>0.1690308509457033</v>
      </c>
      <c r="I56" s="381">
        <f t="shared" si="13"/>
        <v>0.20645590963700367</v>
      </c>
      <c r="J56" s="381">
        <f t="shared" si="13"/>
        <v>0.23809523809523808</v>
      </c>
      <c r="K56" s="381">
        <f t="shared" si="13"/>
        <v>0.26519741765271837</v>
      </c>
      <c r="L56" s="381">
        <f t="shared" si="13"/>
        <v>0.28867513459481287</v>
      </c>
    </row>
    <row r="57" spans="1:18" ht="30">
      <c r="A57" s="380" t="s">
        <v>623</v>
      </c>
      <c r="B57" s="381">
        <f>B$46/SQRT((B$46+B$47)*(B$46+B$48))</f>
        <v>0</v>
      </c>
      <c r="C57" s="381">
        <f t="shared" ref="C57:L57" si="14">C$46/SQRT((C$46+C$47)*(C$46+C$48))</f>
        <v>0.1690308509457033</v>
      </c>
      <c r="D57" s="381">
        <f t="shared" si="14"/>
        <v>0.28867513459481292</v>
      </c>
      <c r="E57" s="381">
        <f t="shared" si="14"/>
        <v>0.3779644730092272</v>
      </c>
      <c r="F57" s="381">
        <f t="shared" si="14"/>
        <v>0.44721359549995793</v>
      </c>
      <c r="G57" s="381">
        <f t="shared" si="14"/>
        <v>0.50251890762960605</v>
      </c>
      <c r="H57" s="381">
        <f t="shared" si="14"/>
        <v>0.54772255750516607</v>
      </c>
      <c r="I57" s="381">
        <f t="shared" si="14"/>
        <v>0.58536940700496354</v>
      </c>
      <c r="J57" s="381">
        <f t="shared" si="14"/>
        <v>0.61721339984836765</v>
      </c>
      <c r="K57" s="381">
        <f t="shared" si="14"/>
        <v>0.64450338663548956</v>
      </c>
      <c r="L57" s="381">
        <f t="shared" si="14"/>
        <v>0.66815310478106094</v>
      </c>
    </row>
    <row r="58" spans="1:18" s="9" customFormat="1" ht="30">
      <c r="A58" s="380" t="s">
        <v>624</v>
      </c>
      <c r="B58" s="381">
        <f>(B$46*2-B$47-B$48)/(B$46*2+B$47+B$48)</f>
        <v>-1</v>
      </c>
      <c r="C58" s="381">
        <f t="shared" ref="C58:L58" si="15">(C$46*2-C$47-C$48)/(C$46*2+C$47+C$48)</f>
        <v>-0.66666666666666663</v>
      </c>
      <c r="D58" s="381">
        <f t="shared" si="15"/>
        <v>-0.42857142857142855</v>
      </c>
      <c r="E58" s="381">
        <f t="shared" si="15"/>
        <v>-0.25</v>
      </c>
      <c r="F58" s="381">
        <f t="shared" si="15"/>
        <v>-0.1111111111111111</v>
      </c>
      <c r="G58" s="381">
        <f t="shared" si="15"/>
        <v>0</v>
      </c>
      <c r="H58" s="381">
        <f t="shared" si="15"/>
        <v>9.0909090909090912E-2</v>
      </c>
      <c r="I58" s="381">
        <f t="shared" si="15"/>
        <v>0.16666666666666666</v>
      </c>
      <c r="J58" s="381">
        <f t="shared" si="15"/>
        <v>0.23076923076923078</v>
      </c>
      <c r="K58" s="381">
        <f t="shared" si="15"/>
        <v>0.2857142857142857</v>
      </c>
      <c r="L58" s="381">
        <f t="shared" si="15"/>
        <v>0.33333333333333331</v>
      </c>
      <c r="M58" s="20"/>
      <c r="N58" s="217"/>
      <c r="O58" s="20"/>
      <c r="P58" s="20"/>
      <c r="Q58" s="20"/>
      <c r="R58" s="20"/>
    </row>
    <row r="59" spans="1:18" s="9" customFormat="1" ht="15.75">
      <c r="A59" s="20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0"/>
      <c r="N59" s="217"/>
      <c r="O59" s="20"/>
      <c r="P59" s="20"/>
      <c r="Q59" s="20"/>
      <c r="R59" s="20"/>
    </row>
    <row r="61" spans="1:18">
      <c r="A61" s="218" t="s">
        <v>652</v>
      </c>
      <c r="B61" s="20">
        <v>0</v>
      </c>
      <c r="C61" s="20">
        <v>1</v>
      </c>
      <c r="D61" s="20">
        <v>2</v>
      </c>
      <c r="E61" s="20">
        <v>3</v>
      </c>
      <c r="F61" s="20">
        <v>4</v>
      </c>
      <c r="G61" s="20">
        <v>5</v>
      </c>
      <c r="H61" s="20">
        <v>6</v>
      </c>
      <c r="I61" s="20">
        <v>7</v>
      </c>
      <c r="J61" s="20">
        <v>8</v>
      </c>
      <c r="K61" s="20">
        <v>9</v>
      </c>
      <c r="L61" s="20">
        <v>10</v>
      </c>
    </row>
    <row r="62" spans="1:18">
      <c r="A62" s="20" t="s">
        <v>632</v>
      </c>
      <c r="B62" s="381">
        <f>(B$46+B$49)/SUM(B$46:B$49)</f>
        <v>0.44444444444444442</v>
      </c>
      <c r="C62" s="381">
        <f t="shared" ref="C62:L62" si="16">(C$46+C$49)/SUM(C$46:C$49)</f>
        <v>0.47368421052631576</v>
      </c>
      <c r="D62" s="381">
        <f t="shared" si="16"/>
        <v>0.5</v>
      </c>
      <c r="E62" s="381">
        <f t="shared" si="16"/>
        <v>0.52380952380952384</v>
      </c>
      <c r="F62" s="381">
        <f t="shared" si="16"/>
        <v>0.54545454545454541</v>
      </c>
      <c r="G62" s="381">
        <f t="shared" si="16"/>
        <v>0.56521739130434778</v>
      </c>
      <c r="H62" s="381">
        <f t="shared" si="16"/>
        <v>0.58333333333333337</v>
      </c>
      <c r="I62" s="381">
        <f t="shared" si="16"/>
        <v>0.6</v>
      </c>
      <c r="J62" s="381">
        <f t="shared" si="16"/>
        <v>0.61538461538461542</v>
      </c>
      <c r="K62" s="381">
        <f t="shared" si="16"/>
        <v>0.62962962962962965</v>
      </c>
      <c r="L62" s="381">
        <f t="shared" si="16"/>
        <v>0.6428571428571429</v>
      </c>
    </row>
    <row r="63" spans="1:18">
      <c r="A63" s="20" t="s">
        <v>644</v>
      </c>
      <c r="B63" s="381">
        <f>B$46/(B$46+B$47+B$48)</f>
        <v>0</v>
      </c>
      <c r="C63" s="381">
        <f t="shared" ref="C63:L63" si="17">C$46/(C$46+C$47+C$48)</f>
        <v>9.0909090909090912E-2</v>
      </c>
      <c r="D63" s="381">
        <f t="shared" si="17"/>
        <v>0.16666666666666666</v>
      </c>
      <c r="E63" s="381">
        <f t="shared" si="17"/>
        <v>0.23076923076923078</v>
      </c>
      <c r="F63" s="381">
        <f t="shared" si="17"/>
        <v>0.2857142857142857</v>
      </c>
      <c r="G63" s="381">
        <f t="shared" si="17"/>
        <v>0.33333333333333331</v>
      </c>
      <c r="H63" s="381">
        <f t="shared" si="17"/>
        <v>0.375</v>
      </c>
      <c r="I63" s="381">
        <f t="shared" si="17"/>
        <v>0.41176470588235292</v>
      </c>
      <c r="J63" s="381">
        <f t="shared" si="17"/>
        <v>0.44444444444444442</v>
      </c>
      <c r="K63" s="381">
        <f t="shared" si="17"/>
        <v>0.47368421052631576</v>
      </c>
      <c r="L63" s="381">
        <f t="shared" si="17"/>
        <v>0.5</v>
      </c>
    </row>
    <row r="64" spans="1:18">
      <c r="A64" s="20" t="s">
        <v>633</v>
      </c>
      <c r="B64" s="381">
        <f>B$46*2/(B$46*2+B$47+B$48)</f>
        <v>0</v>
      </c>
      <c r="C64" s="381">
        <f t="shared" ref="C64:K64" si="18">C$46*2/(C$46*2+C$47+C$48)</f>
        <v>0.16666666666666666</v>
      </c>
      <c r="D64" s="381">
        <f t="shared" si="18"/>
        <v>0.2857142857142857</v>
      </c>
      <c r="E64" s="381">
        <f t="shared" si="18"/>
        <v>0.375</v>
      </c>
      <c r="F64" s="381">
        <f t="shared" si="18"/>
        <v>0.44444444444444442</v>
      </c>
      <c r="G64" s="381">
        <f t="shared" si="18"/>
        <v>0.5</v>
      </c>
      <c r="H64" s="381">
        <f t="shared" si="18"/>
        <v>0.54545454545454541</v>
      </c>
      <c r="I64" s="381">
        <f t="shared" si="18"/>
        <v>0.58333333333333337</v>
      </c>
      <c r="J64" s="381">
        <f t="shared" si="18"/>
        <v>0.61538461538461542</v>
      </c>
      <c r="K64" s="381">
        <f t="shared" si="18"/>
        <v>0.6428571428571429</v>
      </c>
      <c r="L64" s="381">
        <f>L$46*2/(L$46*2+L$47+L$48)</f>
        <v>0.66666666666666663</v>
      </c>
    </row>
    <row r="65" spans="1:12">
      <c r="A65" s="20" t="s">
        <v>634</v>
      </c>
      <c r="B65" s="381">
        <f>B$46/SUM(B$46:B$49)</f>
        <v>0</v>
      </c>
      <c r="C65" s="381">
        <f t="shared" ref="C65:L65" si="19">C$46/SUM(C$46:C$49)</f>
        <v>5.2631578947368418E-2</v>
      </c>
      <c r="D65" s="381">
        <f t="shared" si="19"/>
        <v>0.1</v>
      </c>
      <c r="E65" s="381">
        <f t="shared" si="19"/>
        <v>0.14285714285714285</v>
      </c>
      <c r="F65" s="381">
        <f t="shared" si="19"/>
        <v>0.18181818181818182</v>
      </c>
      <c r="G65" s="381">
        <f t="shared" si="19"/>
        <v>0.21739130434782608</v>
      </c>
      <c r="H65" s="381">
        <f t="shared" si="19"/>
        <v>0.25</v>
      </c>
      <c r="I65" s="381">
        <f t="shared" si="19"/>
        <v>0.28000000000000003</v>
      </c>
      <c r="J65" s="381">
        <f t="shared" si="19"/>
        <v>0.30769230769230771</v>
      </c>
      <c r="K65" s="381">
        <f t="shared" si="19"/>
        <v>0.33333333333333331</v>
      </c>
      <c r="L65" s="381">
        <f t="shared" si="19"/>
        <v>0.35714285714285715</v>
      </c>
    </row>
    <row r="66" spans="1:12">
      <c r="A66" s="20" t="s">
        <v>635</v>
      </c>
      <c r="B66" s="381">
        <f>B$46*3/(B$46*3+B$47+B$48+B$49)</f>
        <v>0</v>
      </c>
      <c r="C66" s="381">
        <f t="shared" ref="C66:L66" si="20">C$46*3/(C$46*3+C$47+C$48+C$49)</f>
        <v>0.14285714285714285</v>
      </c>
      <c r="D66" s="381">
        <f t="shared" si="20"/>
        <v>0.25</v>
      </c>
      <c r="E66" s="381">
        <f t="shared" si="20"/>
        <v>0.33333333333333331</v>
      </c>
      <c r="F66" s="381">
        <f t="shared" si="20"/>
        <v>0.4</v>
      </c>
      <c r="G66" s="381">
        <f t="shared" si="20"/>
        <v>0.45454545454545453</v>
      </c>
      <c r="H66" s="381">
        <f t="shared" si="20"/>
        <v>0.5</v>
      </c>
      <c r="I66" s="381">
        <f t="shared" si="20"/>
        <v>0.53846153846153844</v>
      </c>
      <c r="J66" s="381">
        <f t="shared" si="20"/>
        <v>0.5714285714285714</v>
      </c>
      <c r="K66" s="381">
        <f t="shared" si="20"/>
        <v>0.6</v>
      </c>
      <c r="L66" s="381">
        <f t="shared" si="20"/>
        <v>0.625</v>
      </c>
    </row>
    <row r="67" spans="1:12">
      <c r="A67" s="20" t="s">
        <v>631</v>
      </c>
      <c r="B67" s="381">
        <f>(B$46+B$49-B$47-B$48)/SUM(B$46:B$49)</f>
        <v>-0.1111111111111111</v>
      </c>
      <c r="C67" s="381">
        <f t="shared" ref="C67:L67" si="21">(C$46+C$49-C$47-C$48)/SUM(C$46:C$49)</f>
        <v>-5.2631578947368418E-2</v>
      </c>
      <c r="D67" s="381">
        <f t="shared" si="21"/>
        <v>0</v>
      </c>
      <c r="E67" s="381">
        <f t="shared" si="21"/>
        <v>4.7619047619047616E-2</v>
      </c>
      <c r="F67" s="381">
        <f t="shared" si="21"/>
        <v>9.0909090909090912E-2</v>
      </c>
      <c r="G67" s="381">
        <f t="shared" si="21"/>
        <v>0.13043478260869565</v>
      </c>
      <c r="H67" s="381">
        <f t="shared" si="21"/>
        <v>0.16666666666666666</v>
      </c>
      <c r="I67" s="381">
        <f t="shared" si="21"/>
        <v>0.2</v>
      </c>
      <c r="J67" s="381">
        <f t="shared" si="21"/>
        <v>0.23076923076923078</v>
      </c>
      <c r="K67" s="381">
        <f t="shared" si="21"/>
        <v>0.25925925925925924</v>
      </c>
      <c r="L67" s="381">
        <f t="shared" si="21"/>
        <v>0.2857142857142857</v>
      </c>
    </row>
    <row r="68" spans="1:12">
      <c r="A68" s="20" t="s">
        <v>645</v>
      </c>
      <c r="B68" s="381">
        <f>(B$46-B$47-B$48)/(B$46+B$47+B$48)</f>
        <v>-1</v>
      </c>
      <c r="C68" s="381">
        <f t="shared" ref="C68:K68" si="22">(C$46-C$47-C$48)/(C$46+C$47+C$48)</f>
        <v>-0.81818181818181823</v>
      </c>
      <c r="D68" s="381">
        <f t="shared" si="22"/>
        <v>-0.66666666666666663</v>
      </c>
      <c r="E68" s="381">
        <f t="shared" si="22"/>
        <v>-0.53846153846153844</v>
      </c>
      <c r="F68" s="381">
        <f t="shared" si="22"/>
        <v>-0.42857142857142855</v>
      </c>
      <c r="G68" s="381">
        <f t="shared" si="22"/>
        <v>-0.33333333333333331</v>
      </c>
      <c r="H68" s="381">
        <f t="shared" si="22"/>
        <v>-0.25</v>
      </c>
      <c r="I68" s="381">
        <f t="shared" si="22"/>
        <v>-0.17647058823529413</v>
      </c>
      <c r="J68" s="381">
        <f t="shared" si="22"/>
        <v>-0.1111111111111111</v>
      </c>
      <c r="K68" s="381">
        <f t="shared" si="22"/>
        <v>-5.2631578947368418E-2</v>
      </c>
      <c r="L68" s="381">
        <f>(L$46-L$47-L$48)/(L$46+L$47+L$48)</f>
        <v>0</v>
      </c>
    </row>
    <row r="69" spans="1:12">
      <c r="A69" s="20" t="s">
        <v>646</v>
      </c>
      <c r="B69" s="381">
        <f>(B$46*2-B$47-B$48)/(B$46*2+B$47+B$48)</f>
        <v>-1</v>
      </c>
      <c r="C69" s="381">
        <f t="shared" ref="C69:L69" si="23">(C$46*2-C$47-C$48)/(C$46*2+C$47+C$48)</f>
        <v>-0.66666666666666663</v>
      </c>
      <c r="D69" s="381">
        <f t="shared" si="23"/>
        <v>-0.42857142857142855</v>
      </c>
      <c r="E69" s="381">
        <f t="shared" si="23"/>
        <v>-0.25</v>
      </c>
      <c r="F69" s="381">
        <f t="shared" si="23"/>
        <v>-0.1111111111111111</v>
      </c>
      <c r="G69" s="381">
        <f t="shared" si="23"/>
        <v>0</v>
      </c>
      <c r="H69" s="381">
        <f t="shared" si="23"/>
        <v>9.0909090909090912E-2</v>
      </c>
      <c r="I69" s="381">
        <f t="shared" si="23"/>
        <v>0.16666666666666666</v>
      </c>
      <c r="J69" s="381">
        <f t="shared" si="23"/>
        <v>0.23076923076923078</v>
      </c>
      <c r="K69" s="381">
        <f t="shared" si="23"/>
        <v>0.2857142857142857</v>
      </c>
      <c r="L69" s="381">
        <f t="shared" si="23"/>
        <v>0.33333333333333331</v>
      </c>
    </row>
    <row r="70" spans="1:12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>
      <c r="A72" s="20" t="s">
        <v>650</v>
      </c>
      <c r="B72" s="20">
        <v>0</v>
      </c>
      <c r="C72" s="20">
        <v>1</v>
      </c>
      <c r="D72" s="20">
        <v>2</v>
      </c>
      <c r="E72" s="20">
        <v>3</v>
      </c>
      <c r="F72" s="20">
        <v>4</v>
      </c>
      <c r="G72" s="20">
        <v>5</v>
      </c>
      <c r="H72" s="20">
        <v>6</v>
      </c>
      <c r="I72" s="20">
        <v>7</v>
      </c>
      <c r="J72" s="20">
        <v>8</v>
      </c>
      <c r="K72" s="20">
        <v>9</v>
      </c>
      <c r="L72" s="20">
        <v>10</v>
      </c>
    </row>
    <row r="73" spans="1:12">
      <c r="A73" s="20" t="s">
        <v>627</v>
      </c>
      <c r="B73" s="381">
        <f>B$46*B$49/(B$46*B$49+B$47*B$48)</f>
        <v>0</v>
      </c>
      <c r="C73" s="381">
        <f t="shared" ref="C73:K73" si="24">C$46*C$49/(C$46*C$49+C$47*C$48)</f>
        <v>0.25</v>
      </c>
      <c r="D73" s="381">
        <f t="shared" si="24"/>
        <v>0.4</v>
      </c>
      <c r="E73" s="381">
        <f t="shared" si="24"/>
        <v>0.5</v>
      </c>
      <c r="F73" s="381">
        <f t="shared" si="24"/>
        <v>0.5714285714285714</v>
      </c>
      <c r="G73" s="381">
        <f t="shared" si="24"/>
        <v>0.625</v>
      </c>
      <c r="H73" s="381">
        <f t="shared" si="24"/>
        <v>0.66666666666666663</v>
      </c>
      <c r="I73" s="381">
        <f t="shared" si="24"/>
        <v>0.7</v>
      </c>
      <c r="J73" s="381">
        <f t="shared" si="24"/>
        <v>0.72727272727272729</v>
      </c>
      <c r="K73" s="381">
        <f t="shared" si="24"/>
        <v>0.75</v>
      </c>
      <c r="L73" s="381">
        <f>L$46*L$49/(L$46*L$49+L$47*L$48)</f>
        <v>0.76923076923076927</v>
      </c>
    </row>
    <row r="74" spans="1:12">
      <c r="A74" s="20" t="s">
        <v>638</v>
      </c>
      <c r="B74" s="381">
        <f>SQRT(B$46*B$49/(B$46*B$49+B$47*B$48))</f>
        <v>0</v>
      </c>
      <c r="C74" s="381">
        <f t="shared" ref="C74:L74" si="25">SQRT(C$46*C$49/(C$46*C$49+C$47*C$48))</f>
        <v>0.5</v>
      </c>
      <c r="D74" s="381">
        <f t="shared" si="25"/>
        <v>0.63245553203367588</v>
      </c>
      <c r="E74" s="381">
        <f t="shared" si="25"/>
        <v>0.70710678118654757</v>
      </c>
      <c r="F74" s="381">
        <f t="shared" si="25"/>
        <v>0.7559289460184544</v>
      </c>
      <c r="G74" s="381">
        <f t="shared" si="25"/>
        <v>0.79056941504209488</v>
      </c>
      <c r="H74" s="381">
        <f t="shared" si="25"/>
        <v>0.81649658092772603</v>
      </c>
      <c r="I74" s="381">
        <f t="shared" si="25"/>
        <v>0.83666002653407556</v>
      </c>
      <c r="J74" s="381">
        <f t="shared" si="25"/>
        <v>0.85280286542244177</v>
      </c>
      <c r="K74" s="381">
        <f t="shared" si="25"/>
        <v>0.8660254037844386</v>
      </c>
      <c r="L74" s="381">
        <f t="shared" si="25"/>
        <v>0.8770580193070292</v>
      </c>
    </row>
    <row r="75" spans="1:12">
      <c r="A75" s="20" t="s">
        <v>647</v>
      </c>
      <c r="B75" s="381">
        <f>SQRT(B$46*B$49)/(SQRT(B$46*B$49)+SQRT(B$47*B$48))</f>
        <v>0</v>
      </c>
      <c r="C75" s="381">
        <f t="shared" ref="C75:L75" si="26">SQRT(C$46*C$49)/(SQRT(C$46*C$49)+SQRT(C$47*C$48))</f>
        <v>0.36602540378443871</v>
      </c>
      <c r="D75" s="381">
        <f t="shared" si="26"/>
        <v>0.4494897427831781</v>
      </c>
      <c r="E75" s="381">
        <f t="shared" si="26"/>
        <v>0.5</v>
      </c>
      <c r="F75" s="381">
        <f t="shared" si="26"/>
        <v>0.53589838486224539</v>
      </c>
      <c r="G75" s="381">
        <f t="shared" si="26"/>
        <v>0.5635083268962916</v>
      </c>
      <c r="H75" s="381">
        <f t="shared" si="26"/>
        <v>0.58578643762690497</v>
      </c>
      <c r="I75" s="381">
        <f t="shared" si="26"/>
        <v>0.60435607626103993</v>
      </c>
      <c r="J75" s="381">
        <f t="shared" si="26"/>
        <v>0.62020410288672878</v>
      </c>
      <c r="K75" s="381">
        <f t="shared" si="26"/>
        <v>0.6339745962155614</v>
      </c>
      <c r="L75" s="381">
        <f t="shared" si="26"/>
        <v>0.64611063213547704</v>
      </c>
    </row>
    <row r="76" spans="1:12">
      <c r="A76" s="25" t="s">
        <v>628</v>
      </c>
      <c r="B76" s="381">
        <f>B$46^2/(B$46^2+B$47*B$48)</f>
        <v>0</v>
      </c>
      <c r="C76" s="381">
        <f t="shared" ref="C76:L76" si="27">C$46^2/(C$46^2+C$47*C$48)</f>
        <v>0.04</v>
      </c>
      <c r="D76" s="381">
        <f t="shared" si="27"/>
        <v>0.14285714285714285</v>
      </c>
      <c r="E76" s="381">
        <f t="shared" si="27"/>
        <v>0.27272727272727271</v>
      </c>
      <c r="F76" s="381">
        <f t="shared" si="27"/>
        <v>0.4</v>
      </c>
      <c r="G76" s="381">
        <f t="shared" si="27"/>
        <v>0.51020408163265307</v>
      </c>
      <c r="H76" s="381">
        <f t="shared" si="27"/>
        <v>0.6</v>
      </c>
      <c r="I76" s="381">
        <f t="shared" si="27"/>
        <v>0.67123287671232879</v>
      </c>
      <c r="J76" s="381">
        <f t="shared" si="27"/>
        <v>0.72727272727272729</v>
      </c>
      <c r="K76" s="381">
        <f t="shared" si="27"/>
        <v>0.77142857142857146</v>
      </c>
      <c r="L76" s="381">
        <f t="shared" si="27"/>
        <v>0.80645161290322576</v>
      </c>
    </row>
    <row r="77" spans="1:12">
      <c r="A77" s="25" t="s">
        <v>639</v>
      </c>
      <c r="B77" s="381">
        <f>B$46/SQRT((B$46^2+B$47*B$48))</f>
        <v>0</v>
      </c>
      <c r="C77" s="381">
        <f t="shared" ref="C77:K77" si="28">C$46/SQRT((C$46^2+C$47*C$48))</f>
        <v>0.2</v>
      </c>
      <c r="D77" s="381">
        <f t="shared" si="28"/>
        <v>0.3779644730092272</v>
      </c>
      <c r="E77" s="381">
        <f t="shared" si="28"/>
        <v>0.5222329678670935</v>
      </c>
      <c r="F77" s="381">
        <f t="shared" si="28"/>
        <v>0.63245553203367588</v>
      </c>
      <c r="G77" s="381">
        <f t="shared" si="28"/>
        <v>0.7142857142857143</v>
      </c>
      <c r="H77" s="381">
        <f t="shared" si="28"/>
        <v>0.7745966692414834</v>
      </c>
      <c r="I77" s="381">
        <f t="shared" si="28"/>
        <v>0.81928803037291398</v>
      </c>
      <c r="J77" s="381">
        <f t="shared" si="28"/>
        <v>0.85280286542244166</v>
      </c>
      <c r="K77" s="381">
        <f t="shared" si="28"/>
        <v>0.87831006565367986</v>
      </c>
      <c r="L77" s="381">
        <f>L$46/SQRT((L$46^2+L$47*L$48))</f>
        <v>0.89802651013387458</v>
      </c>
    </row>
    <row r="78" spans="1:12">
      <c r="A78" s="20" t="s">
        <v>630</v>
      </c>
      <c r="B78" s="381">
        <f>B$46/(B$46+SQRT(B$47*B$48))</f>
        <v>0</v>
      </c>
      <c r="C78" s="381">
        <f t="shared" ref="C78:L78" si="29">C$46/(C$46+SQRT(C$47*C$48))</f>
        <v>0.16952084719853724</v>
      </c>
      <c r="D78" s="381">
        <f t="shared" si="29"/>
        <v>0.28989794855663564</v>
      </c>
      <c r="E78" s="381">
        <f t="shared" si="29"/>
        <v>0.37979589711327127</v>
      </c>
      <c r="F78" s="381">
        <f t="shared" si="29"/>
        <v>0.4494897427831781</v>
      </c>
      <c r="G78" s="381">
        <f t="shared" si="29"/>
        <v>0.50510257216821908</v>
      </c>
      <c r="H78" s="381">
        <f t="shared" si="29"/>
        <v>0.5505102572168219</v>
      </c>
      <c r="I78" s="381">
        <f t="shared" si="29"/>
        <v>0.58828574404142031</v>
      </c>
      <c r="J78" s="381">
        <f t="shared" si="29"/>
        <v>0.62020410288672878</v>
      </c>
      <c r="K78" s="381">
        <f t="shared" si="29"/>
        <v>0.6475295549105754</v>
      </c>
      <c r="L78" s="381">
        <f t="shared" si="29"/>
        <v>0.6711869097939005</v>
      </c>
    </row>
    <row r="79" spans="1:12">
      <c r="A79" s="20" t="s">
        <v>651</v>
      </c>
      <c r="B79" s="20">
        <v>0</v>
      </c>
      <c r="C79" s="20">
        <v>1</v>
      </c>
      <c r="D79" s="20">
        <v>2</v>
      </c>
      <c r="E79" s="20">
        <v>3</v>
      </c>
      <c r="F79" s="20">
        <v>4</v>
      </c>
      <c r="G79" s="20">
        <v>5</v>
      </c>
      <c r="H79" s="20">
        <v>6</v>
      </c>
      <c r="I79" s="20">
        <v>7</v>
      </c>
      <c r="J79" s="20">
        <v>8</v>
      </c>
      <c r="K79" s="20">
        <v>9</v>
      </c>
      <c r="L79" s="20">
        <v>10</v>
      </c>
    </row>
    <row r="80" spans="1:12">
      <c r="A80" s="20" t="s">
        <v>625</v>
      </c>
      <c r="B80" s="381">
        <f>(B$46*B$49-B$47*B$48)/(B$46*B$49+B$47*B$48)</f>
        <v>-1</v>
      </c>
      <c r="C80" s="381">
        <f t="shared" ref="C80:L80" si="30">(C$46*C$49-C$47*C$48)/(C$46*C$49+C$47*C$48)</f>
        <v>-0.5</v>
      </c>
      <c r="D80" s="381">
        <f t="shared" si="30"/>
        <v>-0.2</v>
      </c>
      <c r="E80" s="381">
        <f t="shared" si="30"/>
        <v>0</v>
      </c>
      <c r="F80" s="381">
        <f t="shared" si="30"/>
        <v>0.14285714285714285</v>
      </c>
      <c r="G80" s="381">
        <f t="shared" si="30"/>
        <v>0.25</v>
      </c>
      <c r="H80" s="381">
        <f t="shared" si="30"/>
        <v>0.33333333333333331</v>
      </c>
      <c r="I80" s="381">
        <f t="shared" si="30"/>
        <v>0.4</v>
      </c>
      <c r="J80" s="381">
        <f t="shared" si="30"/>
        <v>0.45454545454545453</v>
      </c>
      <c r="K80" s="381">
        <f t="shared" si="30"/>
        <v>0.5</v>
      </c>
      <c r="L80" s="381">
        <f t="shared" si="30"/>
        <v>0.53846153846153844</v>
      </c>
    </row>
    <row r="81" spans="1:18">
      <c r="A81" s="20" t="s">
        <v>640</v>
      </c>
      <c r="B81" s="381">
        <f>SIGN(B$46*B$49-B$47*B$48)*SQRT(ABS((B$46*B$49-B$47*B$48))/(B$46*B$49+B$47*B$48))</f>
        <v>-1</v>
      </c>
      <c r="C81" s="381">
        <f t="shared" ref="C81:L81" si="31">SIGN(C$46*C$49-C$47*C$48)*SQRT(ABS((C$46*C$49-C$47*C$48))/(C$46*C$49+C$47*C$48))</f>
        <v>-0.70710678118654757</v>
      </c>
      <c r="D81" s="381">
        <f t="shared" si="31"/>
        <v>-0.44721359549995793</v>
      </c>
      <c r="E81" s="381">
        <f t="shared" si="31"/>
        <v>0</v>
      </c>
      <c r="F81" s="381">
        <f t="shared" si="31"/>
        <v>0.3779644730092272</v>
      </c>
      <c r="G81" s="381">
        <f t="shared" si="31"/>
        <v>0.5</v>
      </c>
      <c r="H81" s="381">
        <f t="shared" si="31"/>
        <v>0.57735026918962573</v>
      </c>
      <c r="I81" s="381">
        <f t="shared" si="31"/>
        <v>0.63245553203367588</v>
      </c>
      <c r="J81" s="381">
        <f t="shared" si="31"/>
        <v>0.67419986246324204</v>
      </c>
      <c r="K81" s="381">
        <f t="shared" si="31"/>
        <v>0.70710678118654757</v>
      </c>
      <c r="L81" s="381">
        <f t="shared" si="31"/>
        <v>0.73379938570534275</v>
      </c>
    </row>
    <row r="82" spans="1:18">
      <c r="A82" s="20" t="s">
        <v>648</v>
      </c>
      <c r="B82" s="381">
        <f t="shared" ref="B82:L82" si="32">(SQRT(B$46*B$49)-SQRT(B$47*B$48))/(SQRT(B$46*B$49)+SQRT(B$47*B$48))</f>
        <v>-1</v>
      </c>
      <c r="C82" s="381">
        <f t="shared" si="32"/>
        <v>-0.26794919243112264</v>
      </c>
      <c r="D82" s="381">
        <f t="shared" si="32"/>
        <v>-0.10102051443364377</v>
      </c>
      <c r="E82" s="381">
        <f t="shared" si="32"/>
        <v>0</v>
      </c>
      <c r="F82" s="381">
        <f t="shared" si="32"/>
        <v>7.1796769724490894E-2</v>
      </c>
      <c r="G82" s="381">
        <f t="shared" si="32"/>
        <v>0.1270166537925832</v>
      </c>
      <c r="H82" s="381">
        <f t="shared" si="32"/>
        <v>0.17157287525380993</v>
      </c>
      <c r="I82" s="381">
        <f t="shared" si="32"/>
        <v>0.20871215252208003</v>
      </c>
      <c r="J82" s="381">
        <f t="shared" si="32"/>
        <v>0.24040820577345756</v>
      </c>
      <c r="K82" s="381">
        <f t="shared" si="32"/>
        <v>0.2679491924311227</v>
      </c>
      <c r="L82" s="381">
        <f t="shared" si="32"/>
        <v>0.29222126427095402</v>
      </c>
    </row>
    <row r="83" spans="1:18" s="383" customFormat="1">
      <c r="A83" s="25" t="s">
        <v>626</v>
      </c>
      <c r="B83" s="381">
        <f>(B$46^2-B$47*B$48)/(B$46^2+B$47*B$48)</f>
        <v>-1</v>
      </c>
      <c r="C83" s="381">
        <f t="shared" ref="C83:L83" si="33">(C$46^2-C$47*C$48)/(C$46^2+C$47*C$48)</f>
        <v>-0.92</v>
      </c>
      <c r="D83" s="381">
        <f t="shared" si="33"/>
        <v>-0.7142857142857143</v>
      </c>
      <c r="E83" s="381">
        <f t="shared" si="33"/>
        <v>-0.45454545454545453</v>
      </c>
      <c r="F83" s="381">
        <f t="shared" si="33"/>
        <v>-0.2</v>
      </c>
      <c r="G83" s="381">
        <f t="shared" si="33"/>
        <v>2.0408163265306121E-2</v>
      </c>
      <c r="H83" s="381">
        <f t="shared" si="33"/>
        <v>0.2</v>
      </c>
      <c r="I83" s="381">
        <f t="shared" si="33"/>
        <v>0.34246575342465752</v>
      </c>
      <c r="J83" s="381">
        <f t="shared" si="33"/>
        <v>0.45454545454545453</v>
      </c>
      <c r="K83" s="381">
        <f t="shared" si="33"/>
        <v>0.54285714285714282</v>
      </c>
      <c r="L83" s="381">
        <f t="shared" si="33"/>
        <v>0.61290322580645162</v>
      </c>
      <c r="M83" s="25"/>
      <c r="N83" s="382"/>
      <c r="O83" s="25"/>
      <c r="P83" s="330"/>
      <c r="Q83" s="330"/>
      <c r="R83" s="330"/>
    </row>
    <row r="84" spans="1:18" s="383" customFormat="1">
      <c r="A84" s="25" t="s">
        <v>641</v>
      </c>
      <c r="B84" s="381">
        <f>SIGN(B$46^2-B$47*B$48)*SQRT(ABS(B$46^2-B$47*B$48)/(B$46^2+B$47*B$48))</f>
        <v>-1</v>
      </c>
      <c r="C84" s="381">
        <f t="shared" ref="C84:L84" si="34">SIGN(C$46^2-C$47*C$48)*SQRT(ABS(C$46^2-C$47*C$48)/(C$46^2+C$47*C$48))</f>
        <v>-0.95916630466254393</v>
      </c>
      <c r="D84" s="381">
        <f t="shared" si="34"/>
        <v>-0.84515425472851657</v>
      </c>
      <c r="E84" s="381">
        <f t="shared" si="34"/>
        <v>-0.67419986246324204</v>
      </c>
      <c r="F84" s="381">
        <f t="shared" si="34"/>
        <v>-0.44721359549995793</v>
      </c>
      <c r="G84" s="381">
        <f t="shared" si="34"/>
        <v>0.14285714285714285</v>
      </c>
      <c r="H84" s="381">
        <f t="shared" si="34"/>
        <v>0.44721359549995793</v>
      </c>
      <c r="I84" s="381">
        <f t="shared" si="34"/>
        <v>0.58520573598065284</v>
      </c>
      <c r="J84" s="381">
        <f t="shared" si="34"/>
        <v>0.67419986246324204</v>
      </c>
      <c r="K84" s="381">
        <f t="shared" si="34"/>
        <v>0.73678839761300718</v>
      </c>
      <c r="L84" s="381">
        <f t="shared" si="34"/>
        <v>0.78288136125881269</v>
      </c>
      <c r="M84" s="25"/>
      <c r="N84" s="382"/>
      <c r="O84" s="25"/>
      <c r="P84" s="330"/>
      <c r="Q84" s="330"/>
      <c r="R84" s="330"/>
    </row>
    <row r="85" spans="1:18">
      <c r="A85" s="20" t="s">
        <v>629</v>
      </c>
      <c r="B85" s="381">
        <f>(B$46-SQRT(B$47*B$48))/(B$46+SQRT(B$47*B$48))</f>
        <v>-1</v>
      </c>
      <c r="C85" s="381">
        <f t="shared" ref="C85:L85" si="35">(C$46-SQRT(C$47*C$48))/(C$46+SQRT(C$47*C$48))</f>
        <v>-0.66095830560292557</v>
      </c>
      <c r="D85" s="381">
        <f t="shared" si="35"/>
        <v>-0.42020410288672871</v>
      </c>
      <c r="E85" s="381">
        <f t="shared" si="35"/>
        <v>-0.24040820577345748</v>
      </c>
      <c r="F85" s="381">
        <f t="shared" si="35"/>
        <v>-0.10102051443364377</v>
      </c>
      <c r="G85" s="381">
        <f t="shared" si="35"/>
        <v>1.020514433643808E-2</v>
      </c>
      <c r="H85" s="381">
        <f t="shared" si="35"/>
        <v>0.10102051443364385</v>
      </c>
      <c r="I85" s="381">
        <f t="shared" si="35"/>
        <v>0.17657148808284057</v>
      </c>
      <c r="J85" s="381">
        <f t="shared" si="35"/>
        <v>0.24040820577345756</v>
      </c>
      <c r="K85" s="381">
        <f t="shared" si="35"/>
        <v>0.29505910982115069</v>
      </c>
      <c r="L85" s="381">
        <f t="shared" si="35"/>
        <v>0.34237381958780105</v>
      </c>
    </row>
    <row r="86" spans="1:18">
      <c r="A86" s="218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</row>
    <row r="87" spans="1:18">
      <c r="A87" s="218" t="s">
        <v>636</v>
      </c>
      <c r="B87" s="20">
        <v>0</v>
      </c>
      <c r="C87" s="20">
        <v>1</v>
      </c>
      <c r="D87" s="20">
        <v>2</v>
      </c>
      <c r="E87" s="20">
        <v>3</v>
      </c>
      <c r="F87" s="20">
        <v>4</v>
      </c>
      <c r="G87" s="20">
        <v>5</v>
      </c>
      <c r="H87" s="20">
        <v>6</v>
      </c>
      <c r="I87" s="20">
        <v>7</v>
      </c>
      <c r="J87" s="20">
        <v>8</v>
      </c>
      <c r="K87" s="20">
        <v>9</v>
      </c>
      <c r="L87" s="20">
        <v>10</v>
      </c>
    </row>
    <row r="88" spans="1:18" ht="28.5" customHeight="1">
      <c r="A88" s="380" t="s">
        <v>649</v>
      </c>
      <c r="B88" s="381">
        <f>(B$46*B$49-B$47*B$48)/SQRT((B$46+B$47)*(B$46+B$48)*(B$49+B$47)*(B$49+B$48))</f>
        <v>-0.3779644730092272</v>
      </c>
      <c r="C88" s="381">
        <f t="shared" ref="C88:L88" si="36">(C$46*C$49-C$47*C$48)/SQRT((C$46+C$47)*(C$46+C$48)*(C$49+C$47)*(C$49+C$48))</f>
        <v>-0.20865621238292043</v>
      </c>
      <c r="D88" s="381">
        <f t="shared" si="36"/>
        <v>-8.9087080637474794E-2</v>
      </c>
      <c r="E88" s="381">
        <f t="shared" si="36"/>
        <v>0</v>
      </c>
      <c r="F88" s="381">
        <f t="shared" si="36"/>
        <v>6.9006555934235422E-2</v>
      </c>
      <c r="G88" s="381">
        <f t="shared" si="36"/>
        <v>0.12406456138646277</v>
      </c>
      <c r="H88" s="381">
        <f t="shared" si="36"/>
        <v>0.1690308509457033</v>
      </c>
      <c r="I88" s="381">
        <f t="shared" si="36"/>
        <v>0.20645590963700367</v>
      </c>
      <c r="J88" s="381">
        <f t="shared" si="36"/>
        <v>0.23809523809523808</v>
      </c>
      <c r="K88" s="381">
        <f t="shared" si="36"/>
        <v>0.26519741765271837</v>
      </c>
      <c r="L88" s="381">
        <f t="shared" si="36"/>
        <v>0.28867513459481287</v>
      </c>
    </row>
    <row r="89" spans="1:18" ht="28.5" customHeight="1">
      <c r="A89" s="380" t="s">
        <v>642</v>
      </c>
      <c r="B89" s="381">
        <f>SIGN(B$46*B$49-B$47*B$48)*SQRT(ABS(B$46*B$49-B$47*B$48)/SQRT((B$46+B$47)*(B$46+B$48)*(B$49+B$47)*(B$49+B$48)))</f>
        <v>-0.61478815295126432</v>
      </c>
      <c r="C89" s="381">
        <f t="shared" ref="C89:L89" si="37">SIGN(C$46*C$49-C$47*C$48)*SQRT(ABS(C$46*C$49-C$47*C$48)/SQRT((C$46+C$47)*(C$46+C$48)*(C$49+C$47)*(C$49+C$48)))</f>
        <v>-0.45678902392999815</v>
      </c>
      <c r="D89" s="381">
        <f t="shared" si="37"/>
        <v>-0.29847458960098228</v>
      </c>
      <c r="E89" s="381">
        <f t="shared" si="37"/>
        <v>0</v>
      </c>
      <c r="F89" s="381">
        <f t="shared" si="37"/>
        <v>0.26269098944241581</v>
      </c>
      <c r="G89" s="381">
        <f t="shared" si="37"/>
        <v>0.35222799631270479</v>
      </c>
      <c r="H89" s="381">
        <f t="shared" si="37"/>
        <v>0.41113361690051969</v>
      </c>
      <c r="I89" s="381">
        <f t="shared" si="37"/>
        <v>0.45437419561084635</v>
      </c>
      <c r="J89" s="381">
        <f t="shared" si="37"/>
        <v>0.4879500364742666</v>
      </c>
      <c r="K89" s="381">
        <f t="shared" si="37"/>
        <v>0.51497322032579362</v>
      </c>
      <c r="L89" s="381">
        <f t="shared" si="37"/>
        <v>0.537284965911771</v>
      </c>
    </row>
    <row r="90" spans="1:18" ht="28.5" customHeight="1">
      <c r="A90" s="380" t="s">
        <v>643</v>
      </c>
      <c r="B90" s="381">
        <f>(SQRT(B$46*B$49)-SQRT(B$47*B$48))/SQRT(SQRT((B$46+B$47)*(B$46+B$48)*(B$49+B$47)*(B$49+B$48)))</f>
        <v>-0.61478815295126432</v>
      </c>
      <c r="C90" s="381">
        <f t="shared" ref="C90:L90" si="38">(SQRT(C$46*C$49)-SQRT(C$47*C$48))/SQRT(SQRT((C$46+C$47)*(C$46+C$48)*(C$49+C$47)*(C$49+C$48)))</f>
        <v>-0.23645139797374917</v>
      </c>
      <c r="D90" s="381">
        <f t="shared" si="38"/>
        <v>-9.4866341319717842E-2</v>
      </c>
      <c r="E90" s="381">
        <f t="shared" si="38"/>
        <v>0</v>
      </c>
      <c r="F90" s="381">
        <f t="shared" si="38"/>
        <v>7.0387838480027984E-2</v>
      </c>
      <c r="G90" s="381">
        <f t="shared" si="38"/>
        <v>0.12553192996824766</v>
      </c>
      <c r="H90" s="381">
        <f t="shared" si="38"/>
        <v>0.17029712006769959</v>
      </c>
      <c r="I90" s="381">
        <f t="shared" si="38"/>
        <v>0.20758096565254505</v>
      </c>
      <c r="J90" s="381">
        <f t="shared" si="38"/>
        <v>0.23924892683914045</v>
      </c>
      <c r="K90" s="381">
        <f t="shared" si="38"/>
        <v>0.26656975427618385</v>
      </c>
      <c r="L90" s="381">
        <f t="shared" si="38"/>
        <v>0.2904427874726519</v>
      </c>
    </row>
    <row r="91" spans="1:18" ht="28.5" customHeight="1">
      <c r="A91" s="380" t="s">
        <v>637</v>
      </c>
      <c r="B91" s="381">
        <f>B$46/SQRT((B$46+B$47)*(B$46+B$48))</f>
        <v>0</v>
      </c>
      <c r="C91" s="381">
        <f t="shared" ref="C91:K91" si="39">C$46/SQRT((C$46+C$47)*(C$46+C$48))</f>
        <v>0.1690308509457033</v>
      </c>
      <c r="D91" s="381">
        <f t="shared" si="39"/>
        <v>0.28867513459481292</v>
      </c>
      <c r="E91" s="381">
        <f t="shared" si="39"/>
        <v>0.3779644730092272</v>
      </c>
      <c r="F91" s="381">
        <f t="shared" si="39"/>
        <v>0.44721359549995793</v>
      </c>
      <c r="G91" s="381">
        <f t="shared" si="39"/>
        <v>0.50251890762960605</v>
      </c>
      <c r="H91" s="381">
        <f t="shared" si="39"/>
        <v>0.54772255750516607</v>
      </c>
      <c r="I91" s="381">
        <f t="shared" si="39"/>
        <v>0.58536940700496354</v>
      </c>
      <c r="J91" s="381">
        <f t="shared" si="39"/>
        <v>0.61721339984836765</v>
      </c>
      <c r="K91" s="381">
        <f t="shared" si="39"/>
        <v>0.64450338663548956</v>
      </c>
      <c r="L91" s="381">
        <f>L$46/SQRT((L$46+L$47)*(L$46+L$48))</f>
        <v>0.66815310478106094</v>
      </c>
    </row>
  </sheetData>
  <mergeCells count="1">
    <mergeCell ref="D17:E17"/>
  </mergeCells>
  <phoneticPr fontId="2"/>
  <conditionalFormatting sqref="I36:J36 I38:J38">
    <cfRule type="dataBar" priority="14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{F174D499-4FFC-4EA8-8D40-866695317273}</x14:id>
        </ext>
      </extLst>
    </cfRule>
  </conditionalFormatting>
  <conditionalFormatting sqref="I21:J21 I23:J23">
    <cfRule type="dataBar" priority="14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{CA67644A-77E0-4233-B32E-EB2FBA55776E}</x14:id>
        </ext>
      </extLst>
    </cfRule>
  </conditionalFormatting>
  <conditionalFormatting sqref="N1">
    <cfRule type="dataBar" priority="1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{8560F0C2-9E16-4F3F-9D06-865EA6057356}</x14:id>
        </ext>
      </extLst>
    </cfRule>
  </conditionalFormatting>
  <conditionalFormatting sqref="B58:L58">
    <cfRule type="dataBar" priority="224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{964FC5EE-74AA-4B15-9DAC-937481F1BC23}</x14:id>
        </ext>
      </extLst>
    </cfRule>
  </conditionalFormatting>
  <conditionalFormatting sqref="B58:L58">
    <cfRule type="dataBar" priority="224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{47A2470C-DACE-42CE-B653-881A19262CE1}</x14:id>
        </ext>
      </extLst>
    </cfRule>
  </conditionalFormatting>
  <conditionalFormatting sqref="N20:N28">
    <cfRule type="dataBar" priority="1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{7A99FE6C-3E59-48A0-A060-557DB3F060BA}</x14:id>
        </ext>
      </extLst>
    </cfRule>
  </conditionalFormatting>
  <conditionalFormatting sqref="N20:N28">
    <cfRule type="dataBar" priority="108">
      <dataBar>
        <cfvo type="min"/>
        <cfvo type="max"/>
        <color theme="8" tint="0.79998168889431442"/>
      </dataBar>
      <extLst>
        <ext xmlns:x14="http://schemas.microsoft.com/office/spreadsheetml/2009/9/main" uri="{B025F937-C7B1-47D3-B67F-A62EFF666E3E}">
          <x14:id>{D737224D-DF7C-4405-A431-ECF3AB23AEAF}</x14:id>
        </ext>
      </extLst>
    </cfRule>
    <cfRule type="dataBar" priority="10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{504983BD-B5D9-442F-AFD2-AC4559B76677}</x14:id>
        </ext>
      </extLst>
    </cfRule>
    <cfRule type="dataBar" priority="110">
      <dataBar>
        <cfvo type="min"/>
        <cfvo type="max"/>
        <color theme="3" tint="0.79998168889431442"/>
      </dataBar>
      <extLst>
        <ext xmlns:x14="http://schemas.microsoft.com/office/spreadsheetml/2009/9/main" uri="{B025F937-C7B1-47D3-B67F-A62EFF666E3E}">
          <x14:id>{83E5FEB8-0CA9-4C62-9604-5F2042216B23}</x14:id>
        </ext>
      </extLst>
    </cfRule>
    <cfRule type="dataBar" priority="1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{33F5AF44-9D4B-4080-8CB6-88DF285E7AFE}</x14:id>
        </ext>
      </extLst>
    </cfRule>
  </conditionalFormatting>
  <conditionalFormatting sqref="N34:N42">
    <cfRule type="dataBar" priority="1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{F06F9545-F3A8-429D-A949-978A8D6BCF3B}</x14:id>
        </ext>
      </extLst>
    </cfRule>
  </conditionalFormatting>
  <conditionalFormatting sqref="N34:N42">
    <cfRule type="dataBar" priority="103">
      <dataBar>
        <cfvo type="min"/>
        <cfvo type="max"/>
        <color theme="8" tint="0.79998168889431442"/>
      </dataBar>
      <extLst>
        <ext xmlns:x14="http://schemas.microsoft.com/office/spreadsheetml/2009/9/main" uri="{B025F937-C7B1-47D3-B67F-A62EFF666E3E}">
          <x14:id>{815F93ED-53CD-4538-80F2-2E0C4E507FDB}</x14:id>
        </ext>
      </extLst>
    </cfRule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{8F5E6A1A-4F3E-4F49-8D01-AFBFE4FD8AC7}</x14:id>
        </ext>
      </extLst>
    </cfRule>
    <cfRule type="dataBar" priority="105">
      <dataBar>
        <cfvo type="min"/>
        <cfvo type="max"/>
        <color theme="3" tint="0.79998168889431442"/>
      </dataBar>
      <extLst>
        <ext xmlns:x14="http://schemas.microsoft.com/office/spreadsheetml/2009/9/main" uri="{B025F937-C7B1-47D3-B67F-A62EFF666E3E}">
          <x14:id>{D04B02CC-1CEB-4AEF-AF07-93290096CD54}</x14:id>
        </ext>
      </extLst>
    </cfRule>
    <cfRule type="dataBar" priority="1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{C4E216FB-55A4-4A18-8024-4957B927A68E}</x14:id>
        </ext>
      </extLst>
    </cfRule>
  </conditionalFormatting>
  <conditionalFormatting sqref="B50:L51 B53:L57">
    <cfRule type="dataBar" priority="224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{9F24F595-85B0-4364-88F0-FF4CE1F912F9}</x14:id>
        </ext>
      </extLst>
    </cfRule>
  </conditionalFormatting>
  <conditionalFormatting sqref="B50:L51 B53:L57">
    <cfRule type="dataBar" priority="224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{8B56F960-BB6F-478D-8448-91B9888DA7C9}</x14:id>
        </ext>
      </extLst>
    </cfRule>
  </conditionalFormatting>
  <conditionalFormatting sqref="B83:L83 B78:L78 B80:L80">
    <cfRule type="dataBar" priority="69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{666DD2E2-318E-4F14-8EF1-DB54A48655AB}</x14:id>
        </ext>
      </extLst>
    </cfRule>
  </conditionalFormatting>
  <conditionalFormatting sqref="B83:L83 B78:L78 B80:L80">
    <cfRule type="dataBar" priority="68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{E9109090-1333-43CC-AF32-103961263D88}</x14:id>
        </ext>
      </extLst>
    </cfRule>
  </conditionalFormatting>
  <conditionalFormatting sqref="B50:L51 B53:L58">
    <cfRule type="dataBar" priority="48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{344260F5-E22E-4D50-A0B8-82BB869D20D6}</x14:id>
        </ext>
      </extLst>
    </cfRule>
    <cfRule type="dataBar" priority="67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{C1459620-ECA2-4A1C-98D7-08A68BF9FED7}</x14:id>
        </ext>
      </extLst>
    </cfRule>
  </conditionalFormatting>
  <conditionalFormatting sqref="B85:L85">
    <cfRule type="dataBar" priority="62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{8AD29458-37DD-4F90-863C-5D3BA0820541}</x14:id>
        </ext>
      </extLst>
    </cfRule>
  </conditionalFormatting>
  <conditionalFormatting sqref="B85:L85">
    <cfRule type="dataBar" priority="61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{C0DD7830-B5BE-4599-B06D-2EC3DA301B88}</x14:id>
        </ext>
      </extLst>
    </cfRule>
  </conditionalFormatting>
  <conditionalFormatting sqref="B73:L73">
    <cfRule type="dataBar" priority="60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{57FA46EC-9B8A-43CF-905C-C7892E6F950A}</x14:id>
        </ext>
      </extLst>
    </cfRule>
  </conditionalFormatting>
  <conditionalFormatting sqref="B73:L73">
    <cfRule type="dataBar" priority="59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{877DC3B1-1320-4C45-B1D8-26B1F7C5610F}</x14:id>
        </ext>
      </extLst>
    </cfRule>
  </conditionalFormatting>
  <conditionalFormatting sqref="B76:L76">
    <cfRule type="dataBar" priority="58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{668B0215-460A-4692-A7D2-30732A5F7D3F}</x14:id>
        </ext>
      </extLst>
    </cfRule>
  </conditionalFormatting>
  <conditionalFormatting sqref="B76:L76">
    <cfRule type="dataBar" priority="57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{87AB83DB-CB16-4CD5-9CC1-AF436847BDF3}</x14:id>
        </ext>
      </extLst>
    </cfRule>
  </conditionalFormatting>
  <conditionalFormatting sqref="B62:L62 B73:L73 B67:L67 B76:L76 B83:L83 B85:L85 B64:L64 C63:L63 B69:L71 B78:L78 B80:L80">
    <cfRule type="dataBar" priority="50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{7B5263EC-B1C6-484F-832E-51F64D71296F}</x14:id>
        </ext>
      </extLst>
    </cfRule>
  </conditionalFormatting>
  <conditionalFormatting sqref="B65:L65">
    <cfRule type="dataBar" priority="47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{7B5A92F4-3E3A-4E01-B928-0137384B420F}</x14:id>
        </ext>
      </extLst>
    </cfRule>
  </conditionalFormatting>
  <conditionalFormatting sqref="B66:L66">
    <cfRule type="dataBar" priority="46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{B2A39E45-FE3E-4062-A549-7BB3AAFB4BC0}</x14:id>
        </ext>
      </extLst>
    </cfRule>
  </conditionalFormatting>
  <conditionalFormatting sqref="B88:L88 B91:L91 C90:L90">
    <cfRule type="dataBar" priority="4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{D8AF1C48-907D-4FCE-8A4B-0093CC7DF116}</x14:id>
        </ext>
      </extLst>
    </cfRule>
  </conditionalFormatting>
  <conditionalFormatting sqref="B88:L88 B91:L91 C90:L90">
    <cfRule type="dataBar" priority="4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{E5140AEA-77FA-40DD-916D-80547188C1C0}</x14:id>
        </ext>
      </extLst>
    </cfRule>
  </conditionalFormatting>
  <conditionalFormatting sqref="B88:L88 B91:L91 C90:L90">
    <cfRule type="dataBar" priority="42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{4173DEE5-CAC4-4308-AD9D-8156CBBA5859}</x14:id>
        </ext>
      </extLst>
    </cfRule>
    <cfRule type="dataBar" priority="43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{C3472073-9921-4EE5-A631-A283B4139CC9}</x14:id>
        </ext>
      </extLst>
    </cfRule>
  </conditionalFormatting>
  <conditionalFormatting sqref="B75:L75">
    <cfRule type="dataBar" priority="3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{0E4AF170-DF27-4E7F-84CC-42254C32B0CB}</x14:id>
        </ext>
      </extLst>
    </cfRule>
  </conditionalFormatting>
  <conditionalFormatting sqref="B75:L75">
    <cfRule type="dataBar" priority="3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{E1787E0B-7E9C-48A1-8B86-C1860DAA0137}</x14:id>
        </ext>
      </extLst>
    </cfRule>
  </conditionalFormatting>
  <conditionalFormatting sqref="B82:L82">
    <cfRule type="dataBar" priority="3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{CA436551-4A6E-4127-A71C-C1720130C675}</x14:id>
        </ext>
      </extLst>
    </cfRule>
  </conditionalFormatting>
  <conditionalFormatting sqref="B82:L82">
    <cfRule type="dataBar" priority="3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{C114A802-D13C-4D82-9A7F-8058D74903F0}</x14:id>
        </ext>
      </extLst>
    </cfRule>
  </conditionalFormatting>
  <conditionalFormatting sqref="B74:L74">
    <cfRule type="dataBar" priority="33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{6C07BF8B-5E8F-4D84-AD52-ECFB43A0CD78}</x14:id>
        </ext>
      </extLst>
    </cfRule>
  </conditionalFormatting>
  <conditionalFormatting sqref="B74:L74">
    <cfRule type="dataBar" priority="32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{32044260-B9E7-45A6-941A-45D6ADB1496C}</x14:id>
        </ext>
      </extLst>
    </cfRule>
  </conditionalFormatting>
  <conditionalFormatting sqref="B74:L74">
    <cfRule type="dataBar" priority="31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{2B46331B-A998-407E-A63D-DF8B227A46CC}</x14:id>
        </ext>
      </extLst>
    </cfRule>
  </conditionalFormatting>
  <conditionalFormatting sqref="B77:L77">
    <cfRule type="dataBar" priority="30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{0285FB9C-7257-4D08-A6C3-980919CC0EE0}</x14:id>
        </ext>
      </extLst>
    </cfRule>
  </conditionalFormatting>
  <conditionalFormatting sqref="B77:L77">
    <cfRule type="dataBar" priority="29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{60B66A3D-409C-4AEA-A513-7FED51F7A60A}</x14:id>
        </ext>
      </extLst>
    </cfRule>
  </conditionalFormatting>
  <conditionalFormatting sqref="B77:L77">
    <cfRule type="dataBar" priority="28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{BC0525E9-871E-4D7B-AEA1-2AB7482F487E}</x14:id>
        </ext>
      </extLst>
    </cfRule>
  </conditionalFormatting>
  <conditionalFormatting sqref="B81:L81">
    <cfRule type="dataBar" priority="27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{EFBC5D05-5E86-44AE-88B1-33EEF1230907}</x14:id>
        </ext>
      </extLst>
    </cfRule>
  </conditionalFormatting>
  <conditionalFormatting sqref="B81:L81">
    <cfRule type="dataBar" priority="26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{406C060B-22FC-46A8-8EBD-1BEEA5FA24E6}</x14:id>
        </ext>
      </extLst>
    </cfRule>
  </conditionalFormatting>
  <conditionalFormatting sqref="B81:L81">
    <cfRule type="dataBar" priority="25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{A8EF283F-6F78-4904-841E-77DF48253A21}</x14:id>
        </ext>
      </extLst>
    </cfRule>
  </conditionalFormatting>
  <conditionalFormatting sqref="B84:L84">
    <cfRule type="dataBar" priority="24">
      <dataBar>
        <cfvo type="num" val="-1"/>
        <cfvo type="num" val="1"/>
        <color theme="4" tint="0.19998779259620961"/>
      </dataBar>
      <extLst>
        <ext xmlns:x14="http://schemas.microsoft.com/office/spreadsheetml/2009/9/main" uri="{B025F937-C7B1-47D3-B67F-A62EFF666E3E}">
          <x14:id>{3F20D8E1-D571-4022-8796-9DEF1A82C6D4}</x14:id>
        </ext>
      </extLst>
    </cfRule>
  </conditionalFormatting>
  <conditionalFormatting sqref="B84:L84">
    <cfRule type="dataBar" priority="23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{EB7C8DFD-6A53-45D8-A907-D07BE6A9E107}</x14:id>
        </ext>
      </extLst>
    </cfRule>
  </conditionalFormatting>
  <conditionalFormatting sqref="B84:L84">
    <cfRule type="dataBar" priority="22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{23030C52-CC18-4631-89EF-533DAF2585DA}</x14:id>
        </ext>
      </extLst>
    </cfRule>
  </conditionalFormatting>
  <conditionalFormatting sqref="B89:L89">
    <cfRule type="dataBar" priority="2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{1F4ED16E-3229-4DA0-9D8D-16B3E19965DF}</x14:id>
        </ext>
      </extLst>
    </cfRule>
  </conditionalFormatting>
  <conditionalFormatting sqref="B89:L89">
    <cfRule type="dataBar" priority="2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{B58A971B-4358-4728-B1AC-0531965A0C5A}</x14:id>
        </ext>
      </extLst>
    </cfRule>
  </conditionalFormatting>
  <conditionalFormatting sqref="B89:L89">
    <cfRule type="dataBar" priority="18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{605C5650-761F-44DE-B8F9-55D81E7665D8}</x14:id>
        </ext>
      </extLst>
    </cfRule>
    <cfRule type="dataBar" priority="19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{3AE280C2-2DF8-4E56-9C4A-2CAECA74A471}</x14:id>
        </ext>
      </extLst>
    </cfRule>
  </conditionalFormatting>
  <conditionalFormatting sqref="B90:L90">
    <cfRule type="dataBar" priority="10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{82427984-C523-482E-9FB6-1F2FF25C62A7}</x14:id>
        </ext>
      </extLst>
    </cfRule>
    <cfRule type="dataBar" priority="11">
      <dataBar>
        <cfvo type="num" val="-1"/>
        <cfvo type="num" val="1"/>
        <color theme="4" tint="0.69997253334147158"/>
      </dataBar>
      <extLst>
        <ext xmlns:x14="http://schemas.microsoft.com/office/spreadsheetml/2009/9/main" uri="{B025F937-C7B1-47D3-B67F-A62EFF666E3E}">
          <x14:id>{EF623C49-42B4-4449-A549-934FD2525324}</x14:id>
        </ext>
      </extLst>
    </cfRule>
  </conditionalFormatting>
  <conditionalFormatting sqref="B90:L90">
    <cfRule type="dataBar" priority="1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{F9484D85-FD78-40E3-B229-9C092521A32B}</x14:id>
        </ext>
      </extLst>
    </cfRule>
  </conditionalFormatting>
  <conditionalFormatting sqref="B90:L90">
    <cfRule type="dataBar" priority="1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{65A7E6D1-81DB-4B8A-8C36-CF10FD4BB653}</x14:id>
        </ext>
      </extLst>
    </cfRule>
  </conditionalFormatting>
  <conditionalFormatting sqref="B73:L78 B80:L85">
    <cfRule type="dataBar" priority="1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{B338918D-0F84-4B81-BA35-7CBE7FDC17F5}</x14:id>
        </ext>
      </extLst>
    </cfRule>
    <cfRule type="dataBar" priority="9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{F6506F42-5153-492F-81BE-5C0147B7228D}</x14:id>
        </ext>
      </extLst>
    </cfRule>
  </conditionalFormatting>
  <conditionalFormatting sqref="B88:L91">
    <cfRule type="dataBar" priority="8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{0A3E337B-E164-43E4-9FA7-EECAF8748F1A}</x14:id>
        </ext>
      </extLst>
    </cfRule>
  </conditionalFormatting>
  <conditionalFormatting sqref="B63:L63">
    <cfRule type="dataBar" priority="7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{07C9FDE9-1D16-4470-86E5-ADD73E4B01C9}</x14:id>
        </ext>
      </extLst>
    </cfRule>
  </conditionalFormatting>
  <conditionalFormatting sqref="B68">
    <cfRule type="dataBar" priority="6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{BD8AB421-5719-41E6-80F2-2158359005BC}</x14:id>
        </ext>
      </extLst>
    </cfRule>
  </conditionalFormatting>
  <conditionalFormatting sqref="C68:L68">
    <cfRule type="dataBar" priority="5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{EF01DAB6-058B-4220-8BA1-DB60587FB953}</x14:id>
        </ext>
      </extLst>
    </cfRule>
  </conditionalFormatting>
  <conditionalFormatting sqref="B52:L52">
    <cfRule type="dataBar" priority="3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{D340F132-C205-4981-94DA-03710AD40A36}</x14:id>
        </ext>
      </extLst>
    </cfRule>
  </conditionalFormatting>
  <conditionalFormatting sqref="B62:L69">
    <cfRule type="dataBar" priority="2">
      <dataBar>
        <cfvo type="num" val="-1"/>
        <cfvo type="num" val="1"/>
        <color theme="4" tint="0.79998168889431442"/>
      </dataBar>
      <extLst>
        <ext xmlns:x14="http://schemas.microsoft.com/office/spreadsheetml/2009/9/main" uri="{B025F937-C7B1-47D3-B67F-A62EFF666E3E}">
          <x14:id>{AAE2E84D-667B-4AA6-B3D1-18856835D2C1}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2</xdr:col>
                    <xdr:colOff>19050</xdr:colOff>
                    <xdr:row>15</xdr:row>
                    <xdr:rowOff>161925</xdr:rowOff>
                  </from>
                  <to>
                    <xdr:col>2</xdr:col>
                    <xdr:colOff>285750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pinner 2">
              <controlPr defaultSize="0" autoPict="0">
                <anchor moveWithCells="1" siz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285750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Spinner 3">
              <controlPr defaultSize="0" autoPict="0">
                <anchor moveWithCells="1" sizeWithCells="1">
                  <from>
                    <xdr:col>8</xdr:col>
                    <xdr:colOff>19050</xdr:colOff>
                    <xdr:row>32</xdr:row>
                    <xdr:rowOff>0</xdr:rowOff>
                  </from>
                  <to>
                    <xdr:col>8</xdr:col>
                    <xdr:colOff>285750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Spinner 4">
              <controlPr defaultSize="0" autoPict="0">
                <anchor moveWithCells="1" sizeWithCells="1">
                  <from>
                    <xdr:col>9</xdr:col>
                    <xdr:colOff>19050</xdr:colOff>
                    <xdr:row>32</xdr:row>
                    <xdr:rowOff>9525</xdr:rowOff>
                  </from>
                  <to>
                    <xdr:col>9</xdr:col>
                    <xdr:colOff>285750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Spinner 5">
              <controlPr defaultSize="0" autoPict="0">
                <anchor moveWithCells="1" sizeWithCells="1">
                  <from>
                    <xdr:col>10</xdr:col>
                    <xdr:colOff>19050</xdr:colOff>
                    <xdr:row>32</xdr:row>
                    <xdr:rowOff>0</xdr:rowOff>
                  </from>
                  <to>
                    <xdr:col>10</xdr:col>
                    <xdr:colOff>285750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Spinner 6">
              <controlPr defaultSize="0" autoPict="0">
                <anchor moveWithCells="1" sizeWithCells="1">
                  <from>
                    <xdr:col>0</xdr:col>
                    <xdr:colOff>1085850</xdr:colOff>
                    <xdr:row>46</xdr:row>
                    <xdr:rowOff>19050</xdr:rowOff>
                  </from>
                  <to>
                    <xdr:col>0</xdr:col>
                    <xdr:colOff>1323975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Spinner 7">
              <controlPr defaultSize="0" autoPict="0">
                <anchor moveWithCells="1" sizeWithCells="1">
                  <from>
                    <xdr:col>0</xdr:col>
                    <xdr:colOff>1085850</xdr:colOff>
                    <xdr:row>47</xdr:row>
                    <xdr:rowOff>19050</xdr:rowOff>
                  </from>
                  <to>
                    <xdr:col>0</xdr:col>
                    <xdr:colOff>1323975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Spinner 8">
              <controlPr defaultSize="0" autoPict="0">
                <anchor moveWithCells="1" sizeWithCells="1">
                  <from>
                    <xdr:col>0</xdr:col>
                    <xdr:colOff>1085850</xdr:colOff>
                    <xdr:row>48</xdr:row>
                    <xdr:rowOff>19050</xdr:rowOff>
                  </from>
                  <to>
                    <xdr:col>0</xdr:col>
                    <xdr:colOff>1323975</xdr:colOff>
                    <xdr:row>48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74D499-4FFC-4EA8-8D40-866695317273}">
            <x14:dataBar minLength="0" maxLength="100" negativeBarColorSameAsPositive="1" axisPosition="none">
              <x14:cfvo type="min"/>
              <x14:cfvo type="max"/>
            </x14:dataBar>
          </x14:cfRule>
          <xm:sqref>I36:J36 I38:J38</xm:sqref>
        </x14:conditionalFormatting>
        <x14:conditionalFormatting xmlns:xm="http://schemas.microsoft.com/office/excel/2006/main">
          <x14:cfRule type="dataBar" id="{CA67644A-77E0-4233-B32E-EB2FBA55776E}">
            <x14:dataBar minLength="0" maxLength="100" negativeBarColorSameAsPositive="1" axisPosition="none">
              <x14:cfvo type="min"/>
              <x14:cfvo type="max"/>
            </x14:dataBar>
          </x14:cfRule>
          <xm:sqref>I21:J21 I23:J23</xm:sqref>
        </x14:conditionalFormatting>
        <x14:conditionalFormatting xmlns:xm="http://schemas.microsoft.com/office/excel/2006/main">
          <x14:cfRule type="dataBar" id="{8560F0C2-9E16-4F3F-9D06-865EA6057356}">
            <x14:dataBar minLength="0" maxLength="100" negativeBarColorSameAsPositive="1" axisPosition="none">
              <x14:cfvo type="min"/>
              <x14:cfvo type="max"/>
            </x14:dataBar>
          </x14:cfRule>
          <xm:sqref>N1</xm:sqref>
        </x14:conditionalFormatting>
        <x14:conditionalFormatting xmlns:xm="http://schemas.microsoft.com/office/excel/2006/main">
          <x14:cfRule type="dataBar" id="{964FC5EE-74AA-4B15-9DAC-937481F1BC2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B58:L58</xm:sqref>
        </x14:conditionalFormatting>
        <x14:conditionalFormatting xmlns:xm="http://schemas.microsoft.com/office/excel/2006/main">
          <x14:cfRule type="dataBar" id="{47A2470C-DACE-42CE-B653-881A19262C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B58:L58</xm:sqref>
        </x14:conditionalFormatting>
        <x14:conditionalFormatting xmlns:xm="http://schemas.microsoft.com/office/excel/2006/main">
          <x14:cfRule type="dataBar" id="{7A99FE6C-3E59-48A0-A060-557DB3F060BA}">
            <x14:dataBar minLength="0" maxLength="100" negativeBarColorSameAsPositive="1" axisPosition="none">
              <x14:cfvo type="min"/>
              <x14:cfvo type="max"/>
            </x14:dataBar>
          </x14:cfRule>
          <xm:sqref>N20:N28</xm:sqref>
        </x14:conditionalFormatting>
        <x14:conditionalFormatting xmlns:xm="http://schemas.microsoft.com/office/excel/2006/main">
          <x14:cfRule type="dataBar" id="{D737224D-DF7C-4405-A431-ECF3AB23AEAF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14:cfRule type="dataBar" id="{504983BD-B5D9-442F-AFD2-AC4559B766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E5FEB8-0CA9-4C62-9604-5F2042216B23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14:cfRule type="dataBar" id="{33F5AF44-9D4B-4080-8CB6-88DF285E7A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N20:N28</xm:sqref>
        </x14:conditionalFormatting>
        <x14:conditionalFormatting xmlns:xm="http://schemas.microsoft.com/office/excel/2006/main">
          <x14:cfRule type="dataBar" id="{F06F9545-F3A8-429D-A949-978A8D6BCF3B}">
            <x14:dataBar minLength="0" maxLength="100" negativeBarColorSameAsPositive="1" axisPosition="none">
              <x14:cfvo type="min"/>
              <x14:cfvo type="max"/>
            </x14:dataBar>
          </x14:cfRule>
          <xm:sqref>N34:N42</xm:sqref>
        </x14:conditionalFormatting>
        <x14:conditionalFormatting xmlns:xm="http://schemas.microsoft.com/office/excel/2006/main">
          <x14:cfRule type="dataBar" id="{815F93ED-53CD-4538-80F2-2E0C4E507FD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14:cfRule type="dataBar" id="{8F5E6A1A-4F3E-4F49-8D01-AFBFE4FD8A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4B02CC-1CEB-4AEF-AF07-93290096CD54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14:cfRule type="dataBar" id="{C4E216FB-55A4-4A18-8024-4957B927A6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N34:N42</xm:sqref>
        </x14:conditionalFormatting>
        <x14:conditionalFormatting xmlns:xm="http://schemas.microsoft.com/office/excel/2006/main">
          <x14:cfRule type="dataBar" id="{9F24F595-85B0-4364-88F0-FF4CE1F912F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B50:L51 B53:L57</xm:sqref>
        </x14:conditionalFormatting>
        <x14:conditionalFormatting xmlns:xm="http://schemas.microsoft.com/office/excel/2006/main">
          <x14:cfRule type="dataBar" id="{8B56F960-BB6F-478D-8448-91B9888DA7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B50:L51 B53:L57</xm:sqref>
        </x14:conditionalFormatting>
        <x14:conditionalFormatting xmlns:xm="http://schemas.microsoft.com/office/excel/2006/main">
          <x14:cfRule type="dataBar" id="{666DD2E2-318E-4F14-8EF1-DB54A48655AB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B83:L83 B78:L78 B80:L80</xm:sqref>
        </x14:conditionalFormatting>
        <x14:conditionalFormatting xmlns:xm="http://schemas.microsoft.com/office/excel/2006/main">
          <x14:cfRule type="dataBar" id="{E9109090-1333-43CC-AF32-103961263D88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B83:L83 B78:L78 B80:L80</xm:sqref>
        </x14:conditionalFormatting>
        <x14:conditionalFormatting xmlns:xm="http://schemas.microsoft.com/office/excel/2006/main">
          <x14:cfRule type="dataBar" id="{344260F5-E22E-4D50-A0B8-82BB869D20D6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14:cfRule type="dataBar" id="{C1459620-ECA2-4A1C-98D7-08A68BF9FED7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B50:L51 B53:L58</xm:sqref>
        </x14:conditionalFormatting>
        <x14:conditionalFormatting xmlns:xm="http://schemas.microsoft.com/office/excel/2006/main">
          <x14:cfRule type="dataBar" id="{8AD29458-37DD-4F90-863C-5D3BA0820541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B85:L85</xm:sqref>
        </x14:conditionalFormatting>
        <x14:conditionalFormatting xmlns:xm="http://schemas.microsoft.com/office/excel/2006/main">
          <x14:cfRule type="dataBar" id="{C0DD7830-B5BE-4599-B06D-2EC3DA301B88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B85:L85</xm:sqref>
        </x14:conditionalFormatting>
        <x14:conditionalFormatting xmlns:xm="http://schemas.microsoft.com/office/excel/2006/main">
          <x14:cfRule type="dataBar" id="{57FA46EC-9B8A-43CF-905C-C7892E6F950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B73:L73</xm:sqref>
        </x14:conditionalFormatting>
        <x14:conditionalFormatting xmlns:xm="http://schemas.microsoft.com/office/excel/2006/main">
          <x14:cfRule type="dataBar" id="{877DC3B1-1320-4C45-B1D8-26B1F7C5610F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B73:L73</xm:sqref>
        </x14:conditionalFormatting>
        <x14:conditionalFormatting xmlns:xm="http://schemas.microsoft.com/office/excel/2006/main">
          <x14:cfRule type="dataBar" id="{668B0215-460A-4692-A7D2-30732A5F7D3F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B76:L76</xm:sqref>
        </x14:conditionalFormatting>
        <x14:conditionalFormatting xmlns:xm="http://schemas.microsoft.com/office/excel/2006/main">
          <x14:cfRule type="dataBar" id="{87AB83DB-CB16-4CD5-9CC1-AF436847BDF3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B76:L76</xm:sqref>
        </x14:conditionalFormatting>
        <x14:conditionalFormatting xmlns:xm="http://schemas.microsoft.com/office/excel/2006/main">
          <x14:cfRule type="dataBar" id="{7B5263EC-B1C6-484F-832E-51F64D71296F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B62:L62 B73:L73 B67:L67 B76:L76 B83:L83 B85:L85 B64:L64 C63:L63 B69:L71 B78:L78 B80:L80</xm:sqref>
        </x14:conditionalFormatting>
        <x14:conditionalFormatting xmlns:xm="http://schemas.microsoft.com/office/excel/2006/main">
          <x14:cfRule type="dataBar" id="{7B5A92F4-3E3A-4E01-B928-0137384B420F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B65:L65</xm:sqref>
        </x14:conditionalFormatting>
        <x14:conditionalFormatting xmlns:xm="http://schemas.microsoft.com/office/excel/2006/main">
          <x14:cfRule type="dataBar" id="{B2A39E45-FE3E-4062-A549-7BB3AAFB4BC0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B66:L66</xm:sqref>
        </x14:conditionalFormatting>
        <x14:conditionalFormatting xmlns:xm="http://schemas.microsoft.com/office/excel/2006/main">
          <x14:cfRule type="dataBar" id="{D8AF1C48-907D-4FCE-8A4B-0093CC7DF11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B88:L88 B91:L91 C90:L90</xm:sqref>
        </x14:conditionalFormatting>
        <x14:conditionalFormatting xmlns:xm="http://schemas.microsoft.com/office/excel/2006/main">
          <x14:cfRule type="dataBar" id="{E5140AEA-77FA-40DD-916D-80547188C1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B88:L88 B91:L91 C90:L90</xm:sqref>
        </x14:conditionalFormatting>
        <x14:conditionalFormatting xmlns:xm="http://schemas.microsoft.com/office/excel/2006/main">
          <x14:cfRule type="dataBar" id="{4173DEE5-CAC4-4308-AD9D-8156CBBA5859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14:cfRule type="dataBar" id="{C3472073-9921-4EE5-A631-A283B4139CC9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B88:L88 B91:L91 C90:L90</xm:sqref>
        </x14:conditionalFormatting>
        <x14:conditionalFormatting xmlns:xm="http://schemas.microsoft.com/office/excel/2006/main">
          <x14:cfRule type="dataBar" id="{0E4AF170-DF27-4E7F-84CC-42254C32B0C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B75:L75</xm:sqref>
        </x14:conditionalFormatting>
        <x14:conditionalFormatting xmlns:xm="http://schemas.microsoft.com/office/excel/2006/main">
          <x14:cfRule type="dataBar" id="{E1787E0B-7E9C-48A1-8B86-C1860DAA0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B75:L75</xm:sqref>
        </x14:conditionalFormatting>
        <x14:conditionalFormatting xmlns:xm="http://schemas.microsoft.com/office/excel/2006/main">
          <x14:cfRule type="dataBar" id="{CA436551-4A6E-4127-A71C-C1720130C67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B82:L82</xm:sqref>
        </x14:conditionalFormatting>
        <x14:conditionalFormatting xmlns:xm="http://schemas.microsoft.com/office/excel/2006/main">
          <x14:cfRule type="dataBar" id="{C114A802-D13C-4D82-9A7F-8058D7490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B82:L82</xm:sqref>
        </x14:conditionalFormatting>
        <x14:conditionalFormatting xmlns:xm="http://schemas.microsoft.com/office/excel/2006/main">
          <x14:cfRule type="dataBar" id="{6C07BF8B-5E8F-4D84-AD52-ECFB43A0CD78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B74:L74</xm:sqref>
        </x14:conditionalFormatting>
        <x14:conditionalFormatting xmlns:xm="http://schemas.microsoft.com/office/excel/2006/main">
          <x14:cfRule type="dataBar" id="{32044260-B9E7-45A6-941A-45D6ADB1496C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B74:L74</xm:sqref>
        </x14:conditionalFormatting>
        <x14:conditionalFormatting xmlns:xm="http://schemas.microsoft.com/office/excel/2006/main">
          <x14:cfRule type="dataBar" id="{2B46331B-A998-407E-A63D-DF8B227A46CC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B74:L74</xm:sqref>
        </x14:conditionalFormatting>
        <x14:conditionalFormatting xmlns:xm="http://schemas.microsoft.com/office/excel/2006/main">
          <x14:cfRule type="dataBar" id="{0285FB9C-7257-4D08-A6C3-980919CC0EE0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B77:L77</xm:sqref>
        </x14:conditionalFormatting>
        <x14:conditionalFormatting xmlns:xm="http://schemas.microsoft.com/office/excel/2006/main">
          <x14:cfRule type="dataBar" id="{60B66A3D-409C-4AEA-A513-7FED51F7A60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B77:L77</xm:sqref>
        </x14:conditionalFormatting>
        <x14:conditionalFormatting xmlns:xm="http://schemas.microsoft.com/office/excel/2006/main">
          <x14:cfRule type="dataBar" id="{BC0525E9-871E-4D7B-AEA1-2AB7482F487E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B77:L77</xm:sqref>
        </x14:conditionalFormatting>
        <x14:conditionalFormatting xmlns:xm="http://schemas.microsoft.com/office/excel/2006/main">
          <x14:cfRule type="dataBar" id="{EFBC5D05-5E86-44AE-88B1-33EEF1230907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B81:L81</xm:sqref>
        </x14:conditionalFormatting>
        <x14:conditionalFormatting xmlns:xm="http://schemas.microsoft.com/office/excel/2006/main">
          <x14:cfRule type="dataBar" id="{406C060B-22FC-46A8-8EBD-1BEEA5FA24E6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B81:L81</xm:sqref>
        </x14:conditionalFormatting>
        <x14:conditionalFormatting xmlns:xm="http://schemas.microsoft.com/office/excel/2006/main">
          <x14:cfRule type="dataBar" id="{A8EF283F-6F78-4904-841E-77DF48253A21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B81:L81</xm:sqref>
        </x14:conditionalFormatting>
        <x14:conditionalFormatting xmlns:xm="http://schemas.microsoft.com/office/excel/2006/main">
          <x14:cfRule type="dataBar" id="{3F20D8E1-D571-4022-8796-9DEF1A82C6D4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19998779259620961"/>
              <x14:axisColor rgb="FF000000"/>
            </x14:dataBar>
          </x14:cfRule>
          <xm:sqref>B84:L84</xm:sqref>
        </x14:conditionalFormatting>
        <x14:conditionalFormatting xmlns:xm="http://schemas.microsoft.com/office/excel/2006/main">
          <x14:cfRule type="dataBar" id="{EB7C8DFD-6A53-45D8-A907-D07BE6A9E107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B84:L84</xm:sqref>
        </x14:conditionalFormatting>
        <x14:conditionalFormatting xmlns:xm="http://schemas.microsoft.com/office/excel/2006/main">
          <x14:cfRule type="dataBar" id="{23030C52-CC18-4631-89EF-533DAF2585D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B84:L84</xm:sqref>
        </x14:conditionalFormatting>
        <x14:conditionalFormatting xmlns:xm="http://schemas.microsoft.com/office/excel/2006/main">
          <x14:cfRule type="dataBar" id="{1F4ED16E-3229-4DA0-9D8D-16B3E19965D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B89:L89</xm:sqref>
        </x14:conditionalFormatting>
        <x14:conditionalFormatting xmlns:xm="http://schemas.microsoft.com/office/excel/2006/main">
          <x14:cfRule type="dataBar" id="{B58A971B-4358-4728-B1AC-0531965A0C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B89:L89</xm:sqref>
        </x14:conditionalFormatting>
        <x14:conditionalFormatting xmlns:xm="http://schemas.microsoft.com/office/excel/2006/main">
          <x14:cfRule type="dataBar" id="{605C5650-761F-44DE-B8F9-55D81E7665D8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14:cfRule type="dataBar" id="{3AE280C2-2DF8-4E56-9C4A-2CAECA74A471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B89:L89</xm:sqref>
        </x14:conditionalFormatting>
        <x14:conditionalFormatting xmlns:xm="http://schemas.microsoft.com/office/excel/2006/main">
          <x14:cfRule type="dataBar" id="{82427984-C523-482E-9FB6-1F2FF25C62A7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14:cfRule type="dataBar" id="{EF623C49-42B4-4449-A549-934FD2525324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69997253334147158"/>
              <x14:axisColor rgb="FF000000"/>
            </x14:dataBar>
          </x14:cfRule>
          <xm:sqref>B90:L90</xm:sqref>
        </x14:conditionalFormatting>
        <x14:conditionalFormatting xmlns:xm="http://schemas.microsoft.com/office/excel/2006/main">
          <x14:cfRule type="dataBar" id="{F9484D85-FD78-40E3-B229-9C092521A32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B90:L90</xm:sqref>
        </x14:conditionalFormatting>
        <x14:conditionalFormatting xmlns:xm="http://schemas.microsoft.com/office/excel/2006/main">
          <x14:cfRule type="dataBar" id="{65A7E6D1-81DB-4B8A-8C36-CF10FD4BB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B90:L90</xm:sqref>
        </x14:conditionalFormatting>
        <x14:conditionalFormatting xmlns:xm="http://schemas.microsoft.com/office/excel/2006/main">
          <x14:cfRule type="dataBar" id="{B338918D-0F84-4B81-BA35-7CBE7FDC17F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14:cfRule type="dataBar" id="{F6506F42-5153-492F-81BE-5C0147B7228D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B73:L78 B80:L85</xm:sqref>
        </x14:conditionalFormatting>
        <x14:conditionalFormatting xmlns:xm="http://schemas.microsoft.com/office/excel/2006/main">
          <x14:cfRule type="dataBar" id="{0A3E337B-E164-43E4-9FA7-EECAF8748F1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B88:L91</xm:sqref>
        </x14:conditionalFormatting>
        <x14:conditionalFormatting xmlns:xm="http://schemas.microsoft.com/office/excel/2006/main">
          <x14:cfRule type="dataBar" id="{07C9FDE9-1D16-4470-86E5-ADD73E4B01C9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B63:L63</xm:sqref>
        </x14:conditionalFormatting>
        <x14:conditionalFormatting xmlns:xm="http://schemas.microsoft.com/office/excel/2006/main">
          <x14:cfRule type="dataBar" id="{BD8AB421-5719-41E6-80F2-2158359005BC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B68</xm:sqref>
        </x14:conditionalFormatting>
        <x14:conditionalFormatting xmlns:xm="http://schemas.microsoft.com/office/excel/2006/main">
          <x14:cfRule type="dataBar" id="{EF01DAB6-058B-4220-8BA1-DB60587FB953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C68:L68</xm:sqref>
        </x14:conditionalFormatting>
        <x14:conditionalFormatting xmlns:xm="http://schemas.microsoft.com/office/excel/2006/main">
          <x14:cfRule type="dataBar" id="{D340F132-C205-4981-94DA-03710AD40A36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B52:L52</xm:sqref>
        </x14:conditionalFormatting>
        <x14:conditionalFormatting xmlns:xm="http://schemas.microsoft.com/office/excel/2006/main">
          <x14:cfRule type="dataBar" id="{AAE2E84D-667B-4AA6-B3D1-18856835D2C1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theme="9" tint="0.79998168889431442"/>
              <x14:axisColor rgb="FF000000"/>
            </x14:dataBar>
          </x14:cfRule>
          <xm:sqref>B62:L69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68"/>
  <sheetViews>
    <sheetView tabSelected="1" workbookViewId="0">
      <selection activeCell="H25" sqref="H25"/>
    </sheetView>
  </sheetViews>
  <sheetFormatPr defaultRowHeight="14.25"/>
  <cols>
    <col min="1" max="3" width="13.25" style="14" customWidth="1"/>
    <col min="4" max="4" width="9.625" style="14" customWidth="1"/>
    <col min="5" max="6" width="10.375" style="218" customWidth="1"/>
    <col min="7" max="7" width="10.375" style="10" customWidth="1"/>
    <col min="8" max="16384" width="9" style="10"/>
  </cols>
  <sheetData>
    <row r="1" spans="1:4">
      <c r="A1" s="403" t="s">
        <v>653</v>
      </c>
      <c r="B1" s="403"/>
      <c r="C1" s="403"/>
      <c r="D1" s="403"/>
    </row>
    <row r="3" spans="1:4">
      <c r="A3" s="15" t="s">
        <v>654</v>
      </c>
      <c r="B3" s="15" t="s">
        <v>655</v>
      </c>
      <c r="C3" s="15" t="s">
        <v>656</v>
      </c>
      <c r="D3" s="11"/>
    </row>
    <row r="4" spans="1:4">
      <c r="A4" s="12">
        <v>0.05</v>
      </c>
      <c r="B4" s="12">
        <v>1</v>
      </c>
      <c r="C4" s="13">
        <f>CHIINV(A4,B4)</f>
        <v>3.8414588206941236</v>
      </c>
    </row>
    <row r="5" spans="1:4">
      <c r="A5" s="11"/>
      <c r="B5" s="11"/>
      <c r="C5" s="13"/>
    </row>
    <row r="6" spans="1:4" ht="15.75">
      <c r="A6" s="392" t="s">
        <v>657</v>
      </c>
      <c r="B6" s="397" t="s">
        <v>658</v>
      </c>
      <c r="C6" s="393" t="s">
        <v>659</v>
      </c>
      <c r="D6" s="392" t="s">
        <v>660</v>
      </c>
    </row>
    <row r="7" spans="1:4" ht="14.25" customHeight="1">
      <c r="A7" s="394" t="s">
        <v>661</v>
      </c>
      <c r="B7" s="395">
        <v>59</v>
      </c>
      <c r="C7" s="387">
        <v>36</v>
      </c>
      <c r="D7" s="395">
        <f>SUM(B7:C7)</f>
        <v>95</v>
      </c>
    </row>
    <row r="8" spans="1:4" ht="13.5" customHeight="1">
      <c r="A8" s="396" t="s">
        <v>662</v>
      </c>
      <c r="B8" s="391">
        <v>49</v>
      </c>
      <c r="C8" s="386">
        <v>62</v>
      </c>
      <c r="D8" s="391">
        <f>SUM(B8:C8)</f>
        <v>111</v>
      </c>
    </row>
    <row r="9" spans="1:4">
      <c r="A9" s="404" t="s">
        <v>663</v>
      </c>
      <c r="B9" s="391">
        <f>SUM(B7:B8)</f>
        <v>108</v>
      </c>
      <c r="C9" s="386">
        <f>SUM(C7:C8)</f>
        <v>98</v>
      </c>
      <c r="D9" s="391">
        <f>SUM(B9:C9)</f>
        <v>206</v>
      </c>
    </row>
    <row r="10" spans="1:4">
      <c r="A10" s="15"/>
      <c r="B10" s="15"/>
      <c r="C10" s="15"/>
      <c r="D10" s="15"/>
    </row>
    <row r="11" spans="1:4">
      <c r="A11" s="405" t="s">
        <v>664</v>
      </c>
      <c r="B11" s="393" t="str">
        <f>$B$6</f>
        <v>効果がある</v>
      </c>
      <c r="C11" s="393" t="str">
        <f>$C$6</f>
        <v>効果がない</v>
      </c>
      <c r="D11" s="392" t="s">
        <v>660</v>
      </c>
    </row>
    <row r="12" spans="1:4">
      <c r="A12" s="389" t="str">
        <f>$A$7</f>
        <v>方法A</v>
      </c>
      <c r="B12" s="13">
        <f>$D7*B$9/$D$9</f>
        <v>49.805825242718448</v>
      </c>
      <c r="C12" s="13">
        <f t="shared" ref="C12:C13" si="0">$D7*C$9/$D$9</f>
        <v>45.194174757281552</v>
      </c>
      <c r="D12" s="399">
        <f>SUM(B12:C12)</f>
        <v>95</v>
      </c>
    </row>
    <row r="13" spans="1:4">
      <c r="A13" s="389" t="str">
        <f>$A$8</f>
        <v>方法B</v>
      </c>
      <c r="B13" s="13">
        <f t="shared" ref="B13" si="1">$D8*B$9/$D$9</f>
        <v>58.194174757281552</v>
      </c>
      <c r="C13" s="13">
        <f t="shared" si="0"/>
        <v>52.805825242718448</v>
      </c>
      <c r="D13" s="399">
        <f>SUM(B13:C13)</f>
        <v>111</v>
      </c>
    </row>
    <row r="14" spans="1:4">
      <c r="A14" s="392" t="s">
        <v>660</v>
      </c>
      <c r="B14" s="401">
        <f>SUM(B12:B13)</f>
        <v>108</v>
      </c>
      <c r="C14" s="401">
        <f>SUM(C12:C13)</f>
        <v>98</v>
      </c>
      <c r="D14" s="402">
        <f>SUM(B14:C14)</f>
        <v>206</v>
      </c>
    </row>
    <row r="15" spans="1:4">
      <c r="A15" s="15"/>
      <c r="B15" s="17"/>
      <c r="C15" s="17"/>
      <c r="D15" s="17"/>
    </row>
    <row r="16" spans="1:4">
      <c r="A16" s="405" t="s">
        <v>665</v>
      </c>
      <c r="B16" s="393" t="str">
        <f>$B$6</f>
        <v>効果がある</v>
      </c>
      <c r="C16" s="419" t="str">
        <f>$C$6</f>
        <v>効果がない</v>
      </c>
      <c r="D16" s="17"/>
    </row>
    <row r="17" spans="1:4">
      <c r="A17" s="389" t="str">
        <f>$A$7</f>
        <v>方法A</v>
      </c>
      <c r="B17" s="13">
        <f>(B7-B12)^2/B12</f>
        <v>1.6972482446677637</v>
      </c>
      <c r="C17" s="418">
        <f>(C7-C12)^2/C12</f>
        <v>1.8704368410624335</v>
      </c>
    </row>
    <row r="18" spans="1:4">
      <c r="A18" s="396" t="str">
        <f>$A$8</f>
        <v>方法B</v>
      </c>
      <c r="B18" s="398">
        <f>(B8-B13)^2/B13</f>
        <v>1.4525998490399781</v>
      </c>
      <c r="C18" s="417">
        <f>(C8-C13)^2/C13</f>
        <v>1.6008243234318125</v>
      </c>
    </row>
    <row r="19" spans="1:4">
      <c r="A19" s="15"/>
      <c r="B19" s="13"/>
      <c r="C19" s="13"/>
      <c r="D19" s="15"/>
    </row>
    <row r="20" spans="1:4">
      <c r="A20" s="15" t="s">
        <v>666</v>
      </c>
      <c r="B20" s="13">
        <f>CHITEST(B7:C8,B12:C13)</f>
        <v>1.0077704813658115E-2</v>
      </c>
      <c r="C20" s="13"/>
    </row>
    <row r="21" spans="1:4">
      <c r="A21" s="15" t="s">
        <v>74</v>
      </c>
      <c r="B21" s="13">
        <f>SUM(B17:C18)</f>
        <v>6.6211092582019875</v>
      </c>
      <c r="C21" s="14" t="str">
        <f>IF(B21&lt;C4,"×有意でない","○有意である")</f>
        <v>○有意である</v>
      </c>
    </row>
    <row r="22" spans="1:4">
      <c r="A22" s="14" t="s">
        <v>667</v>
      </c>
      <c r="B22" s="18">
        <f>(ABS(B7*C8-B8*C7)-D9/2)^2*D9/(B9*C9*D7*D8)</f>
        <v>5.9205489592707634</v>
      </c>
      <c r="C22" s="14" t="str">
        <f>IF(B22&lt;C4,"×有意でない","○有意である")</f>
        <v>○有意である</v>
      </c>
    </row>
    <row r="23" spans="1:4">
      <c r="B23" s="18"/>
    </row>
    <row r="25" spans="1:4">
      <c r="A25" s="403" t="s">
        <v>668</v>
      </c>
      <c r="B25" s="403"/>
      <c r="C25" s="403"/>
      <c r="D25" s="403"/>
    </row>
    <row r="27" spans="1:4">
      <c r="A27" s="15" t="s">
        <v>654</v>
      </c>
      <c r="B27" s="15" t="s">
        <v>655</v>
      </c>
      <c r="C27" s="15" t="s">
        <v>656</v>
      </c>
      <c r="D27" s="11"/>
    </row>
    <row r="28" spans="1:4" ht="14.25" customHeight="1">
      <c r="A28" s="19">
        <v>0.05</v>
      </c>
      <c r="B28" s="12">
        <v>1</v>
      </c>
      <c r="C28" s="13">
        <f>CHIINV(A28,B28)</f>
        <v>3.8414588206941236</v>
      </c>
    </row>
    <row r="29" spans="1:4">
      <c r="A29" s="11"/>
      <c r="B29" s="11"/>
      <c r="C29" s="13"/>
    </row>
    <row r="30" spans="1:4" ht="15.75">
      <c r="A30" s="392" t="s">
        <v>657</v>
      </c>
      <c r="B30" s="393" t="s">
        <v>658</v>
      </c>
      <c r="C30" s="393" t="s">
        <v>659</v>
      </c>
      <c r="D30" s="392" t="s">
        <v>660</v>
      </c>
    </row>
    <row r="31" spans="1:4" ht="27" customHeight="1">
      <c r="A31" s="389" t="s">
        <v>661</v>
      </c>
      <c r="B31" s="16">
        <v>83</v>
      </c>
      <c r="C31" s="16">
        <v>40</v>
      </c>
      <c r="D31" s="390">
        <f>SUM(B31:C31)</f>
        <v>123</v>
      </c>
    </row>
    <row r="32" spans="1:4" ht="27" customHeight="1">
      <c r="A32" s="389" t="s">
        <v>662</v>
      </c>
      <c r="B32" s="16">
        <v>71</v>
      </c>
      <c r="C32" s="16">
        <v>57</v>
      </c>
      <c r="D32" s="390">
        <f>SUM(B32:C32)</f>
        <v>128</v>
      </c>
    </row>
    <row r="33" spans="1:6">
      <c r="A33" s="392" t="s">
        <v>660</v>
      </c>
      <c r="B33" s="407">
        <f>SUM(B31:B32)</f>
        <v>154</v>
      </c>
      <c r="C33" s="407">
        <f>SUM(C31:C32)</f>
        <v>97</v>
      </c>
      <c r="D33" s="408">
        <f>SUM(B33:C33)</f>
        <v>251</v>
      </c>
    </row>
    <row r="34" spans="1:6">
      <c r="A34" s="15"/>
      <c r="B34" s="15"/>
      <c r="C34" s="15"/>
      <c r="D34" s="15"/>
    </row>
    <row r="35" spans="1:6">
      <c r="A35" s="409" t="s">
        <v>664</v>
      </c>
      <c r="B35" s="411" t="str">
        <f>$B$6</f>
        <v>効果がある</v>
      </c>
      <c r="C35" s="413" t="str">
        <f>$C$6</f>
        <v>効果がない</v>
      </c>
      <c r="D35" s="388" t="s">
        <v>660</v>
      </c>
    </row>
    <row r="36" spans="1:6">
      <c r="A36" s="411" t="str">
        <f>$A$7</f>
        <v>方法A</v>
      </c>
      <c r="B36" s="414">
        <f>$D31*B$33/$D$33</f>
        <v>75.466135458167329</v>
      </c>
      <c r="C36" s="415">
        <f t="shared" ref="C36:C37" si="2">$D31*C$33/$D$33</f>
        <v>47.533864541832671</v>
      </c>
      <c r="D36" s="412">
        <f>SUM(B36:C36)</f>
        <v>123</v>
      </c>
    </row>
    <row r="37" spans="1:6">
      <c r="A37" s="410" t="str">
        <f>$A$8</f>
        <v>方法B</v>
      </c>
      <c r="B37" s="416">
        <f t="shared" ref="B37:C37" si="3">$D32*B$33/$D$33</f>
        <v>78.533864541832671</v>
      </c>
      <c r="C37" s="417">
        <f t="shared" si="2"/>
        <v>49.466135458167329</v>
      </c>
      <c r="D37" s="400">
        <f>SUM(B37:C37)</f>
        <v>128</v>
      </c>
    </row>
    <row r="38" spans="1:6">
      <c r="A38" s="406" t="s">
        <v>660</v>
      </c>
      <c r="B38" s="416">
        <f>SUM(B36:B37)</f>
        <v>154</v>
      </c>
      <c r="C38" s="417">
        <f>SUM(C36:C37)</f>
        <v>97</v>
      </c>
      <c r="D38" s="400">
        <f>SUM(B38:C38)</f>
        <v>251</v>
      </c>
    </row>
    <row r="39" spans="1:6" s="383" customFormat="1">
      <c r="A39" s="15"/>
      <c r="B39" s="13"/>
      <c r="C39" s="13"/>
      <c r="D39" s="15"/>
      <c r="E39" s="330"/>
      <c r="F39" s="330"/>
    </row>
    <row r="40" spans="1:6">
      <c r="A40" s="405" t="s">
        <v>665</v>
      </c>
      <c r="B40" s="393" t="str">
        <f>$B$6</f>
        <v>効果がある</v>
      </c>
      <c r="C40" s="419" t="str">
        <f>$C$6</f>
        <v>効果がない</v>
      </c>
      <c r="D40" s="15"/>
    </row>
    <row r="41" spans="1:6">
      <c r="A41" s="389" t="str">
        <f>$A$7</f>
        <v>方法A</v>
      </c>
      <c r="B41" s="13">
        <f>(B31-B36)^2/B36</f>
        <v>0.75211370756021445</v>
      </c>
      <c r="C41" s="418">
        <f>(C31-C36)^2/C36</f>
        <v>1.1940774326213714</v>
      </c>
    </row>
    <row r="42" spans="1:6">
      <c r="A42" s="396" t="str">
        <f>$A$8</f>
        <v>方法B</v>
      </c>
      <c r="B42" s="398">
        <f>(B32-B37)^2/B37</f>
        <v>0.72273426585864353</v>
      </c>
      <c r="C42" s="417">
        <f>(C32-C37)^2/C37</f>
        <v>1.1474337829095991</v>
      </c>
    </row>
    <row r="43" spans="1:6">
      <c r="A43" s="15"/>
      <c r="B43" s="13"/>
      <c r="C43" s="13"/>
      <c r="D43" s="15"/>
    </row>
    <row r="44" spans="1:6">
      <c r="A44" s="15" t="s">
        <v>666</v>
      </c>
      <c r="B44" s="13">
        <f>CHITEST(B31:C32,B36:C37)</f>
        <v>5.0754410611391514E-2</v>
      </c>
      <c r="C44" s="13"/>
    </row>
    <row r="45" spans="1:6">
      <c r="A45" s="15" t="s">
        <v>75</v>
      </c>
      <c r="B45" s="13">
        <f>SUM(B41:C42)</f>
        <v>3.8163591889498285</v>
      </c>
      <c r="C45" s="14" t="str">
        <f>IF(B45&lt;C28,"×有意でない","○有意である")</f>
        <v>×有意でない</v>
      </c>
    </row>
    <row r="46" spans="1:6">
      <c r="A46" s="14" t="s">
        <v>667</v>
      </c>
      <c r="B46" s="18">
        <f>(ABS(B31*C32-B32*C31)-D33/2)^2*D33/(B33*C33*D31*D32)</f>
        <v>3.326608011411599</v>
      </c>
      <c r="C46" s="14" t="str">
        <f>IF(B46&lt;C28,"×有意でない","○有意である")</f>
        <v>×有意でない</v>
      </c>
    </row>
    <row r="49" spans="1:6" ht="15.75">
      <c r="A49" s="425" t="s">
        <v>669</v>
      </c>
      <c r="B49" s="426">
        <v>0.1</v>
      </c>
      <c r="C49" s="426">
        <v>0.05</v>
      </c>
      <c r="D49" s="426">
        <v>0.02</v>
      </c>
      <c r="E49" s="426">
        <v>0.01</v>
      </c>
      <c r="F49" s="427">
        <v>1E-3</v>
      </c>
    </row>
    <row r="50" spans="1:6" ht="15">
      <c r="A50" s="423">
        <v>1</v>
      </c>
      <c r="B50" s="26">
        <f>CHIINV(B$49,$A50)</f>
        <v>2.7055434540954142</v>
      </c>
      <c r="C50" s="26">
        <f t="shared" ref="C50:F64" si="4">CHIINV(C$49,$A50)</f>
        <v>3.8414588206941236</v>
      </c>
      <c r="D50" s="26">
        <f t="shared" si="4"/>
        <v>5.4118944310543409</v>
      </c>
      <c r="E50" s="26">
        <f t="shared" si="4"/>
        <v>6.6348966010212118</v>
      </c>
      <c r="F50" s="420">
        <f t="shared" si="4"/>
        <v>10.827566170662733</v>
      </c>
    </row>
    <row r="51" spans="1:6" ht="15">
      <c r="A51" s="423">
        <v>2</v>
      </c>
      <c r="B51" s="26">
        <f t="shared" ref="B51:B64" si="5">CHIINV(B$49,$A51)</f>
        <v>4.6051701859880909</v>
      </c>
      <c r="C51" s="26">
        <f t="shared" si="4"/>
        <v>5.9914645471079817</v>
      </c>
      <c r="D51" s="26">
        <f t="shared" si="4"/>
        <v>7.8240460108562919</v>
      </c>
      <c r="E51" s="26">
        <f t="shared" si="4"/>
        <v>9.2103403719761818</v>
      </c>
      <c r="F51" s="420">
        <f t="shared" si="4"/>
        <v>13.815510557964274</v>
      </c>
    </row>
    <row r="52" spans="1:6" ht="15">
      <c r="A52" s="423">
        <v>3</v>
      </c>
      <c r="B52" s="26">
        <f t="shared" si="5"/>
        <v>6.2513886311703235</v>
      </c>
      <c r="C52" s="26">
        <f t="shared" si="4"/>
        <v>7.8147279032511792</v>
      </c>
      <c r="D52" s="26">
        <f t="shared" si="4"/>
        <v>9.8374093111925927</v>
      </c>
      <c r="E52" s="26">
        <f t="shared" si="4"/>
        <v>11.344866730144371</v>
      </c>
      <c r="F52" s="420">
        <f t="shared" si="4"/>
        <v>16.266236196238129</v>
      </c>
    </row>
    <row r="53" spans="1:6" ht="15">
      <c r="A53" s="423">
        <v>4</v>
      </c>
      <c r="B53" s="26">
        <f t="shared" si="5"/>
        <v>7.7794403397348582</v>
      </c>
      <c r="C53" s="26">
        <f t="shared" si="4"/>
        <v>9.4877290367811575</v>
      </c>
      <c r="D53" s="26">
        <f t="shared" si="4"/>
        <v>11.667843403834782</v>
      </c>
      <c r="E53" s="26">
        <f t="shared" si="4"/>
        <v>13.276704135987623</v>
      </c>
      <c r="F53" s="420">
        <f t="shared" si="4"/>
        <v>18.466826952903173</v>
      </c>
    </row>
    <row r="54" spans="1:6" ht="15">
      <c r="A54" s="423">
        <v>5</v>
      </c>
      <c r="B54" s="26">
        <f t="shared" si="5"/>
        <v>9.2363568997811178</v>
      </c>
      <c r="C54" s="26">
        <f t="shared" si="4"/>
        <v>11.070497693516353</v>
      </c>
      <c r="D54" s="26">
        <f t="shared" si="4"/>
        <v>13.388222599036345</v>
      </c>
      <c r="E54" s="26">
        <f t="shared" si="4"/>
        <v>15.086272469388991</v>
      </c>
      <c r="F54" s="420">
        <f t="shared" si="4"/>
        <v>20.51500565243288</v>
      </c>
    </row>
    <row r="55" spans="1:6" ht="15">
      <c r="A55" s="423">
        <v>6</v>
      </c>
      <c r="B55" s="26">
        <f t="shared" si="5"/>
        <v>10.64464067566842</v>
      </c>
      <c r="C55" s="26">
        <f t="shared" si="4"/>
        <v>12.591587243743978</v>
      </c>
      <c r="D55" s="26">
        <f t="shared" si="4"/>
        <v>15.033207751218963</v>
      </c>
      <c r="E55" s="26">
        <f t="shared" si="4"/>
        <v>16.811893829770931</v>
      </c>
      <c r="F55" s="420">
        <f t="shared" si="4"/>
        <v>22.457744484825326</v>
      </c>
    </row>
    <row r="56" spans="1:6" ht="15">
      <c r="A56" s="423">
        <v>7</v>
      </c>
      <c r="B56" s="26">
        <f t="shared" si="5"/>
        <v>12.01703662378053</v>
      </c>
      <c r="C56" s="26">
        <f t="shared" si="4"/>
        <v>14.067140449340167</v>
      </c>
      <c r="D56" s="26">
        <f t="shared" si="4"/>
        <v>16.622421871110873</v>
      </c>
      <c r="E56" s="26">
        <f t="shared" si="4"/>
        <v>18.475306906582361</v>
      </c>
      <c r="F56" s="420">
        <f t="shared" si="4"/>
        <v>24.321886347856857</v>
      </c>
    </row>
    <row r="57" spans="1:6" ht="15">
      <c r="A57" s="423">
        <v>8</v>
      </c>
      <c r="B57" s="26">
        <f t="shared" si="5"/>
        <v>13.361566136511726</v>
      </c>
      <c r="C57" s="26">
        <f t="shared" si="4"/>
        <v>15.507313055865453</v>
      </c>
      <c r="D57" s="26">
        <f t="shared" si="4"/>
        <v>18.168230764826358</v>
      </c>
      <c r="E57" s="26">
        <f t="shared" si="4"/>
        <v>20.090235029663233</v>
      </c>
      <c r="F57" s="420">
        <f t="shared" si="4"/>
        <v>26.124481558376143</v>
      </c>
    </row>
    <row r="58" spans="1:6" ht="15">
      <c r="A58" s="423">
        <v>9</v>
      </c>
      <c r="B58" s="26">
        <f t="shared" si="5"/>
        <v>14.683656573259835</v>
      </c>
      <c r="C58" s="26">
        <f t="shared" si="4"/>
        <v>16.918977604620451</v>
      </c>
      <c r="D58" s="26">
        <f t="shared" si="4"/>
        <v>19.67901609485455</v>
      </c>
      <c r="E58" s="26">
        <f t="shared" si="4"/>
        <v>21.665994333461931</v>
      </c>
      <c r="F58" s="420">
        <f t="shared" si="4"/>
        <v>27.877164871256575</v>
      </c>
    </row>
    <row r="59" spans="1:6" ht="15">
      <c r="A59" s="423">
        <v>10</v>
      </c>
      <c r="B59" s="26">
        <f t="shared" si="5"/>
        <v>15.987179172105261</v>
      </c>
      <c r="C59" s="26">
        <f t="shared" si="4"/>
        <v>18.307038053275146</v>
      </c>
      <c r="D59" s="26">
        <f t="shared" si="4"/>
        <v>21.16076754130469</v>
      </c>
      <c r="E59" s="26">
        <f t="shared" si="4"/>
        <v>23.209251158954359</v>
      </c>
      <c r="F59" s="420">
        <f t="shared" si="4"/>
        <v>29.588298445074418</v>
      </c>
    </row>
    <row r="60" spans="1:6" ht="15">
      <c r="A60" s="423">
        <v>11</v>
      </c>
      <c r="B60" s="26">
        <f t="shared" si="5"/>
        <v>17.275008517500069</v>
      </c>
      <c r="C60" s="26">
        <f t="shared" si="4"/>
        <v>19.675137572682498</v>
      </c>
      <c r="D60" s="26">
        <f t="shared" si="4"/>
        <v>22.617940805565951</v>
      </c>
      <c r="E60" s="26">
        <f t="shared" si="4"/>
        <v>24.724970311318284</v>
      </c>
      <c r="F60" s="420">
        <f t="shared" si="4"/>
        <v>31.264133620239996</v>
      </c>
    </row>
    <row r="61" spans="1:6" ht="15">
      <c r="A61" s="423">
        <v>12</v>
      </c>
      <c r="B61" s="26">
        <f t="shared" si="5"/>
        <v>18.549347786703244</v>
      </c>
      <c r="C61" s="26">
        <f t="shared" si="4"/>
        <v>21.026069817483066</v>
      </c>
      <c r="D61" s="26">
        <f t="shared" si="4"/>
        <v>24.053956690175998</v>
      </c>
      <c r="E61" s="26">
        <f t="shared" si="4"/>
        <v>26.216967305535849</v>
      </c>
      <c r="F61" s="420">
        <f t="shared" si="4"/>
        <v>32.909490407360217</v>
      </c>
    </row>
    <row r="62" spans="1:6" ht="15">
      <c r="A62" s="423">
        <v>13</v>
      </c>
      <c r="B62" s="26">
        <f t="shared" si="5"/>
        <v>19.81192930712756</v>
      </c>
      <c r="C62" s="26">
        <f t="shared" si="4"/>
        <v>22.362032494826938</v>
      </c>
      <c r="D62" s="26">
        <f t="shared" si="4"/>
        <v>25.471509144682255</v>
      </c>
      <c r="E62" s="26">
        <f t="shared" si="4"/>
        <v>27.688249610457049</v>
      </c>
      <c r="F62" s="420">
        <f t="shared" si="4"/>
        <v>34.528178974870883</v>
      </c>
    </row>
    <row r="63" spans="1:6" ht="15">
      <c r="A63" s="423">
        <v>14</v>
      </c>
      <c r="B63" s="26">
        <f t="shared" si="5"/>
        <v>21.064144212997057</v>
      </c>
      <c r="C63" s="26">
        <f t="shared" si="4"/>
        <v>23.68479130484058</v>
      </c>
      <c r="D63" s="26">
        <f t="shared" si="4"/>
        <v>26.872764642314316</v>
      </c>
      <c r="E63" s="26">
        <f t="shared" si="4"/>
        <v>29.141237740672796</v>
      </c>
      <c r="F63" s="420">
        <f t="shared" si="4"/>
        <v>36.123273680398142</v>
      </c>
    </row>
    <row r="64" spans="1:6" ht="15">
      <c r="A64" s="424">
        <v>15</v>
      </c>
      <c r="B64" s="421">
        <f t="shared" si="5"/>
        <v>22.307129581578689</v>
      </c>
      <c r="C64" s="421">
        <f t="shared" si="4"/>
        <v>24.99579013972863</v>
      </c>
      <c r="D64" s="421">
        <f t="shared" si="4"/>
        <v>28.259496337433017</v>
      </c>
      <c r="E64" s="421">
        <f t="shared" si="4"/>
        <v>30.577914166892494</v>
      </c>
      <c r="F64" s="422">
        <f t="shared" si="4"/>
        <v>37.697298218353822</v>
      </c>
    </row>
    <row r="65" spans="1:6" ht="15">
      <c r="A65" s="25"/>
      <c r="B65" s="25"/>
      <c r="C65" s="25"/>
      <c r="D65" s="25"/>
      <c r="E65" s="25"/>
      <c r="F65" s="25"/>
    </row>
    <row r="66" spans="1:6" ht="15.75">
      <c r="A66" s="436" t="s">
        <v>671</v>
      </c>
      <c r="B66" s="434" t="s">
        <v>76</v>
      </c>
      <c r="C66" s="434" t="s">
        <v>669</v>
      </c>
      <c r="D66" s="435" t="s">
        <v>670</v>
      </c>
      <c r="E66" s="25"/>
      <c r="F66" s="25"/>
    </row>
    <row r="67" spans="1:6" ht="15">
      <c r="A67" s="432" t="s">
        <v>77</v>
      </c>
      <c r="B67" s="27">
        <v>3.8410000000000002</v>
      </c>
      <c r="C67" s="28">
        <v>1</v>
      </c>
      <c r="D67" s="428">
        <f>CHIDIST(B67,C67)</f>
        <v>5.0013683763956721E-2</v>
      </c>
      <c r="E67" s="25"/>
      <c r="F67" s="25"/>
    </row>
    <row r="68" spans="1:6" ht="15">
      <c r="A68" s="433" t="s">
        <v>78</v>
      </c>
      <c r="B68" s="429">
        <f>CHIINV(D68,C68)</f>
        <v>3.8414588206941236</v>
      </c>
      <c r="C68" s="430">
        <v>1</v>
      </c>
      <c r="D68" s="431">
        <v>0.05</v>
      </c>
      <c r="E68" s="25"/>
      <c r="F68" s="25"/>
    </row>
  </sheetData>
  <sheetProtection selectLockedCells="1"/>
  <mergeCells count="2">
    <mergeCell ref="A1:D1"/>
    <mergeCell ref="A25:D25"/>
  </mergeCells>
  <phoneticPr fontId="2"/>
  <conditionalFormatting sqref="C21:C22">
    <cfRule type="cellIs" dxfId="5" priority="5" stopIfTrue="1" operator="equal">
      <formula>"○有意である"</formula>
    </cfRule>
    <cfRule type="cellIs" dxfId="4" priority="6" stopIfTrue="1" operator="equal">
      <formula>"×有意でない"</formula>
    </cfRule>
  </conditionalFormatting>
  <conditionalFormatting sqref="B17:C18">
    <cfRule type="top10" dxfId="3" priority="4" stopIfTrue="1" rank="1"/>
  </conditionalFormatting>
  <conditionalFormatting sqref="C45:C46">
    <cfRule type="cellIs" dxfId="2" priority="2" stopIfTrue="1" operator="equal">
      <formula>"○有意である"</formula>
    </cfRule>
    <cfRule type="cellIs" dxfId="1" priority="3" stopIfTrue="1" operator="equal">
      <formula>"×有意でない"</formula>
    </cfRule>
  </conditionalFormatting>
  <conditionalFormatting sqref="B41:C42">
    <cfRule type="top10" dxfId="0" priority="1" stopIfTrue="1" rank="1"/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Spinner 1">
              <controlPr defaultSize="0" autoPict="0">
                <anchor moveWithCells="1" sizeWithCells="1">
                  <from>
                    <xdr:col>1</xdr:col>
                    <xdr:colOff>9525</xdr:colOff>
                    <xdr:row>30</xdr:row>
                    <xdr:rowOff>0</xdr:rowOff>
                  </from>
                  <to>
                    <xdr:col>1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pinner 2">
              <controlPr defaultSize="0" autoPict="0">
                <anchor moveWithCells="1" siz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333375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Spinner 3">
              <controlPr defaultSize="0" autoPict="0">
                <anchor moveWithCells="1" sizeWithCells="1">
                  <from>
                    <xdr:col>2</xdr:col>
                    <xdr:colOff>19050</xdr:colOff>
                    <xdr:row>30</xdr:row>
                    <xdr:rowOff>9525</xdr:rowOff>
                  </from>
                  <to>
                    <xdr:col>2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Spinner 4">
              <controlPr defaultSize="0" autoPict="0">
                <anchor moveWithCells="1" sizeWithCells="1">
                  <from>
                    <xdr:col>2</xdr:col>
                    <xdr:colOff>9525</xdr:colOff>
                    <xdr:row>31</xdr:row>
                    <xdr:rowOff>9525</xdr:rowOff>
                  </from>
                  <to>
                    <xdr:col>2</xdr:col>
                    <xdr:colOff>333375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"/>
  <sheetViews>
    <sheetView topLeftCell="A13" workbookViewId="0">
      <selection activeCell="A15" sqref="A15:F19"/>
    </sheetView>
  </sheetViews>
  <sheetFormatPr defaultRowHeight="15.75"/>
  <cols>
    <col min="1" max="1" width="9.75" style="83" bestFit="1" customWidth="1"/>
    <col min="2" max="3" width="7.5" style="136" bestFit="1" customWidth="1"/>
    <col min="4" max="4" width="6.375" style="136" bestFit="1" customWidth="1"/>
    <col min="5" max="5" width="7.5" style="136" bestFit="1" customWidth="1"/>
    <col min="6" max="6" width="6.375" style="136" bestFit="1" customWidth="1"/>
    <col min="8" max="8" width="8.875" bestFit="1" customWidth="1"/>
    <col min="9" max="13" width="5.5" bestFit="1" customWidth="1"/>
  </cols>
  <sheetData>
    <row r="1" spans="1:13">
      <c r="A1" s="135" t="s">
        <v>318</v>
      </c>
      <c r="B1" s="136" t="s">
        <v>322</v>
      </c>
    </row>
    <row r="3" spans="1:13">
      <c r="A3" s="310" t="s">
        <v>589</v>
      </c>
      <c r="B3" s="172" t="s">
        <v>268</v>
      </c>
      <c r="C3" s="172" t="s">
        <v>269</v>
      </c>
      <c r="D3" s="172" t="s">
        <v>270</v>
      </c>
      <c r="E3" s="172" t="s">
        <v>271</v>
      </c>
      <c r="F3" s="173" t="s">
        <v>272</v>
      </c>
      <c r="H3" s="41" t="s">
        <v>588</v>
      </c>
      <c r="I3" s="42" t="s">
        <v>268</v>
      </c>
      <c r="J3" s="42" t="s">
        <v>269</v>
      </c>
      <c r="K3" s="42" t="s">
        <v>270</v>
      </c>
      <c r="L3" s="42" t="s">
        <v>271</v>
      </c>
      <c r="M3" s="43" t="s">
        <v>272</v>
      </c>
    </row>
    <row r="4" spans="1:13">
      <c r="A4" s="298" t="s">
        <v>206</v>
      </c>
      <c r="B4" s="301">
        <v>10</v>
      </c>
      <c r="C4" s="302">
        <v>19</v>
      </c>
      <c r="D4" s="302">
        <v>14</v>
      </c>
      <c r="E4" s="302">
        <v>7</v>
      </c>
      <c r="F4" s="303">
        <v>12</v>
      </c>
      <c r="H4" s="44" t="s">
        <v>206</v>
      </c>
      <c r="I4" s="260">
        <v>12</v>
      </c>
      <c r="J4" s="261">
        <v>21</v>
      </c>
      <c r="K4" s="261">
        <v>16</v>
      </c>
      <c r="L4" s="261">
        <v>9</v>
      </c>
      <c r="M4" s="262">
        <v>14</v>
      </c>
    </row>
    <row r="5" spans="1:13">
      <c r="A5" s="298" t="s">
        <v>207</v>
      </c>
      <c r="B5" s="304">
        <v>11</v>
      </c>
      <c r="C5" s="305">
        <v>7</v>
      </c>
      <c r="D5" s="305">
        <v>10</v>
      </c>
      <c r="E5" s="305">
        <v>0</v>
      </c>
      <c r="F5" s="306">
        <v>1</v>
      </c>
      <c r="H5" s="44" t="s">
        <v>207</v>
      </c>
      <c r="I5" s="263">
        <v>13</v>
      </c>
      <c r="J5" s="264">
        <v>9</v>
      </c>
      <c r="K5" s="264">
        <v>12</v>
      </c>
      <c r="L5" s="264">
        <v>2</v>
      </c>
      <c r="M5" s="265">
        <v>3</v>
      </c>
    </row>
    <row r="6" spans="1:13">
      <c r="A6" s="298" t="s">
        <v>208</v>
      </c>
      <c r="B6" s="304">
        <v>0</v>
      </c>
      <c r="C6" s="305">
        <v>0</v>
      </c>
      <c r="D6" s="305">
        <v>1</v>
      </c>
      <c r="E6" s="305">
        <v>12</v>
      </c>
      <c r="F6" s="306">
        <v>1</v>
      </c>
      <c r="H6" s="44" t="s">
        <v>208</v>
      </c>
      <c r="I6" s="263">
        <v>2</v>
      </c>
      <c r="J6" s="264">
        <v>2</v>
      </c>
      <c r="K6" s="264">
        <v>3</v>
      </c>
      <c r="L6" s="264">
        <v>14</v>
      </c>
      <c r="M6" s="265">
        <v>3</v>
      </c>
    </row>
    <row r="7" spans="1:13">
      <c r="A7" s="299" t="s">
        <v>209</v>
      </c>
      <c r="B7" s="307">
        <v>0</v>
      </c>
      <c r="C7" s="308">
        <v>1</v>
      </c>
      <c r="D7" s="308">
        <v>2</v>
      </c>
      <c r="E7" s="308">
        <v>3</v>
      </c>
      <c r="F7" s="309">
        <v>3</v>
      </c>
      <c r="H7" s="45" t="s">
        <v>209</v>
      </c>
      <c r="I7" s="266">
        <v>2</v>
      </c>
      <c r="J7" s="267">
        <v>3</v>
      </c>
      <c r="K7" s="267">
        <v>4</v>
      </c>
      <c r="L7" s="267">
        <v>5</v>
      </c>
      <c r="M7" s="268">
        <v>5</v>
      </c>
    </row>
    <row r="9" spans="1:13">
      <c r="A9" s="41" t="s">
        <v>590</v>
      </c>
      <c r="B9" s="172" t="s">
        <v>268</v>
      </c>
      <c r="C9" s="172" t="s">
        <v>269</v>
      </c>
      <c r="D9" s="172" t="s">
        <v>270</v>
      </c>
      <c r="E9" s="172" t="s">
        <v>271</v>
      </c>
      <c r="F9" s="173" t="s">
        <v>272</v>
      </c>
      <c r="H9" s="41" t="s">
        <v>590</v>
      </c>
      <c r="I9" s="42" t="s">
        <v>268</v>
      </c>
      <c r="J9" s="42" t="s">
        <v>269</v>
      </c>
      <c r="K9" s="42" t="s">
        <v>270</v>
      </c>
      <c r="L9" s="42" t="s">
        <v>271</v>
      </c>
      <c r="M9" s="43" t="s">
        <v>272</v>
      </c>
    </row>
    <row r="10" spans="1:13">
      <c r="A10" s="298" t="s">
        <v>206</v>
      </c>
      <c r="B10" s="320">
        <f>LOG(B4,2)</f>
        <v>3.3219280948873626</v>
      </c>
      <c r="C10" s="321">
        <f t="shared" ref="C10:F10" si="0">LOG(C4,2)</f>
        <v>4.2479275134435852</v>
      </c>
      <c r="D10" s="321">
        <f t="shared" si="0"/>
        <v>3.8073549220576037</v>
      </c>
      <c r="E10" s="321">
        <f t="shared" si="0"/>
        <v>2.8073549220576042</v>
      </c>
      <c r="F10" s="322">
        <f t="shared" si="0"/>
        <v>3.5849625007211565</v>
      </c>
      <c r="H10" s="44" t="s">
        <v>206</v>
      </c>
      <c r="I10" s="311">
        <v>3.3219280948873626</v>
      </c>
      <c r="J10" s="312">
        <v>4.2479275134435852</v>
      </c>
      <c r="K10" s="312">
        <v>3.8073549220576037</v>
      </c>
      <c r="L10" s="312">
        <v>2.8073549220576042</v>
      </c>
      <c r="M10" s="313">
        <v>3.5849625007211565</v>
      </c>
    </row>
    <row r="11" spans="1:13">
      <c r="A11" s="298" t="s">
        <v>207</v>
      </c>
      <c r="B11" s="323">
        <f t="shared" ref="B11:F11" si="1">LOG(B5,2)</f>
        <v>3.4594316186372978</v>
      </c>
      <c r="C11" s="324">
        <f t="shared" si="1"/>
        <v>2.8073549220576042</v>
      </c>
      <c r="D11" s="324">
        <f t="shared" si="1"/>
        <v>3.3219280948873626</v>
      </c>
      <c r="E11" s="324" t="e">
        <f t="shared" si="1"/>
        <v>#NUM!</v>
      </c>
      <c r="F11" s="325">
        <f t="shared" si="1"/>
        <v>0</v>
      </c>
      <c r="H11" s="44" t="s">
        <v>207</v>
      </c>
      <c r="I11" s="314">
        <v>3.4594316186372978</v>
      </c>
      <c r="J11" s="315">
        <v>2.8073549220576042</v>
      </c>
      <c r="K11" s="315">
        <v>3.3219280948873626</v>
      </c>
      <c r="L11" s="315">
        <v>0</v>
      </c>
      <c r="M11" s="316">
        <v>0</v>
      </c>
    </row>
    <row r="12" spans="1:13">
      <c r="A12" s="298" t="s">
        <v>208</v>
      </c>
      <c r="B12" s="323" t="e">
        <f t="shared" ref="B12:F12" si="2">LOG(B6,2)</f>
        <v>#NUM!</v>
      </c>
      <c r="C12" s="324" t="e">
        <f t="shared" si="2"/>
        <v>#NUM!</v>
      </c>
      <c r="D12" s="324">
        <f t="shared" si="2"/>
        <v>0</v>
      </c>
      <c r="E12" s="324">
        <f t="shared" si="2"/>
        <v>3.5849625007211565</v>
      </c>
      <c r="F12" s="325">
        <f t="shared" si="2"/>
        <v>0</v>
      </c>
      <c r="H12" s="44" t="s">
        <v>208</v>
      </c>
      <c r="I12" s="314">
        <v>0</v>
      </c>
      <c r="J12" s="315">
        <v>0</v>
      </c>
      <c r="K12" s="315">
        <v>0</v>
      </c>
      <c r="L12" s="315">
        <v>3.5849625007211565</v>
      </c>
      <c r="M12" s="316">
        <v>0</v>
      </c>
    </row>
    <row r="13" spans="1:13">
      <c r="A13" s="299" t="s">
        <v>209</v>
      </c>
      <c r="B13" s="326" t="e">
        <f t="shared" ref="B13:F13" si="3">LOG(B7,2)</f>
        <v>#NUM!</v>
      </c>
      <c r="C13" s="327">
        <f t="shared" si="3"/>
        <v>0</v>
      </c>
      <c r="D13" s="327">
        <f t="shared" si="3"/>
        <v>1</v>
      </c>
      <c r="E13" s="327">
        <f t="shared" si="3"/>
        <v>1.5849625007211563</v>
      </c>
      <c r="F13" s="328">
        <f t="shared" si="3"/>
        <v>1.5849625007211563</v>
      </c>
      <c r="H13" s="45" t="s">
        <v>209</v>
      </c>
      <c r="I13" s="317">
        <v>0</v>
      </c>
      <c r="J13" s="318">
        <v>0</v>
      </c>
      <c r="K13" s="318">
        <v>1</v>
      </c>
      <c r="L13" s="318">
        <v>1.5849625007211563</v>
      </c>
      <c r="M13" s="319">
        <v>1.5849625007211563</v>
      </c>
    </row>
    <row r="15" spans="1:13">
      <c r="A15"/>
      <c r="B15"/>
      <c r="C15"/>
      <c r="D15"/>
      <c r="E15"/>
      <c r="F15"/>
    </row>
    <row r="16" spans="1:13">
      <c r="A16"/>
      <c r="B16"/>
      <c r="C16"/>
      <c r="D16"/>
      <c r="E16"/>
      <c r="F16"/>
    </row>
    <row r="17" spans="1:6">
      <c r="A17"/>
      <c r="B17"/>
      <c r="C17"/>
      <c r="D17"/>
      <c r="E17"/>
      <c r="F17"/>
    </row>
    <row r="18" spans="1:6">
      <c r="A18"/>
      <c r="B18"/>
      <c r="C18"/>
      <c r="D18"/>
      <c r="E18"/>
      <c r="F18"/>
    </row>
    <row r="19" spans="1:6">
      <c r="A19"/>
      <c r="B19"/>
      <c r="C19"/>
      <c r="D19"/>
      <c r="E19"/>
      <c r="F19"/>
    </row>
  </sheetData>
  <phoneticPr fontId="2"/>
  <conditionalFormatting sqref="B4:F7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{63C06765-3F7C-4076-B770-CE5FAC4AB126}</x14:id>
        </ext>
      </extLst>
    </cfRule>
  </conditionalFormatting>
  <conditionalFormatting sqref="B4:F7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{D98193B3-5F28-4FE3-80B5-F44EE9BD60BA}</x14:id>
        </ext>
      </extLst>
    </cfRule>
  </conditionalFormatting>
  <conditionalFormatting sqref="B10:F13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{EAAAF9CB-5590-4FBB-BDF5-DDC2DD0EC5F0}</x14:id>
        </ext>
      </extLst>
    </cfRule>
  </conditionalFormatting>
  <conditionalFormatting sqref="B10:F13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{9B5AC931-E2E9-4A22-9439-F1568E82798B}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C06765-3F7C-4076-B770-CE5FAC4AB12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D98193B3-5F28-4FE3-80B5-F44EE9BD6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EAAAF9CB-5590-4FBB-BDF5-DDC2DD0EC5F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B10:F13</xm:sqref>
        </x14:conditionalFormatting>
        <x14:conditionalFormatting xmlns:xm="http://schemas.microsoft.com/office/excel/2006/main">
          <x14:cfRule type="dataBar" id="{9B5AC931-E2E9-4A22-9439-F1568E8279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B10:F13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2"/>
  <sheetViews>
    <sheetView workbookViewId="0">
      <selection activeCell="A3" sqref="A3"/>
    </sheetView>
  </sheetViews>
  <sheetFormatPr defaultRowHeight="15.75"/>
  <cols>
    <col min="1" max="1" width="9.75" style="85" bestFit="1" customWidth="1"/>
    <col min="2" max="2" width="4.75" style="29" bestFit="1" customWidth="1"/>
    <col min="3" max="6" width="4.625" style="29" bestFit="1" customWidth="1"/>
    <col min="7" max="7" width="8.5" style="29" customWidth="1"/>
    <col min="8" max="8" width="9.625" style="29" bestFit="1" customWidth="1"/>
    <col min="9" max="13" width="5.25" style="83" bestFit="1" customWidth="1"/>
    <col min="14" max="14" width="4" bestFit="1" customWidth="1"/>
    <col min="21" max="21" width="9" customWidth="1"/>
  </cols>
  <sheetData>
    <row r="1" spans="1:14">
      <c r="A1" s="82" t="s">
        <v>216</v>
      </c>
      <c r="B1" s="29" t="s">
        <v>567</v>
      </c>
    </row>
    <row r="3" spans="1:14" s="34" customFormat="1">
      <c r="A3" s="300" t="s">
        <v>587</v>
      </c>
      <c r="B3" s="172" t="s">
        <v>268</v>
      </c>
      <c r="C3" s="172" t="s">
        <v>269</v>
      </c>
      <c r="D3" s="172" t="s">
        <v>270</v>
      </c>
      <c r="E3" s="172" t="s">
        <v>271</v>
      </c>
      <c r="F3" s="173" t="s">
        <v>272</v>
      </c>
      <c r="G3" s="86" t="s">
        <v>321</v>
      </c>
      <c r="H3" s="86"/>
      <c r="I3" s="83"/>
      <c r="J3" s="83"/>
      <c r="K3" s="83"/>
      <c r="L3" s="83"/>
      <c r="M3" s="83"/>
      <c r="N3"/>
    </row>
    <row r="4" spans="1:14">
      <c r="A4" s="298" t="s">
        <v>206</v>
      </c>
      <c r="B4" s="301">
        <v>10</v>
      </c>
      <c r="C4" s="302">
        <v>19</v>
      </c>
      <c r="D4" s="302">
        <v>14</v>
      </c>
      <c r="E4" s="302">
        <v>7</v>
      </c>
      <c r="F4" s="303">
        <v>12</v>
      </c>
      <c r="G4" s="91">
        <f>SUM(B4:F4)</f>
        <v>62</v>
      </c>
      <c r="H4" s="91"/>
    </row>
    <row r="5" spans="1:14">
      <c r="A5" s="298" t="s">
        <v>207</v>
      </c>
      <c r="B5" s="304">
        <v>11</v>
      </c>
      <c r="C5" s="305">
        <v>7</v>
      </c>
      <c r="D5" s="305">
        <v>10</v>
      </c>
      <c r="E5" s="305">
        <v>0</v>
      </c>
      <c r="F5" s="306">
        <v>1</v>
      </c>
      <c r="G5" s="91">
        <f t="shared" ref="G5:G7" si="0">SUM(B5:F5)</f>
        <v>29</v>
      </c>
      <c r="H5" s="91"/>
    </row>
    <row r="6" spans="1:14">
      <c r="A6" s="298" t="s">
        <v>208</v>
      </c>
      <c r="B6" s="304">
        <v>0</v>
      </c>
      <c r="C6" s="305">
        <v>0</v>
      </c>
      <c r="D6" s="305">
        <v>1</v>
      </c>
      <c r="E6" s="305">
        <v>12</v>
      </c>
      <c r="F6" s="306">
        <v>1</v>
      </c>
      <c r="G6" s="91">
        <f t="shared" si="0"/>
        <v>14</v>
      </c>
      <c r="H6" s="91"/>
    </row>
    <row r="7" spans="1:14">
      <c r="A7" s="299" t="s">
        <v>209</v>
      </c>
      <c r="B7" s="307">
        <v>0</v>
      </c>
      <c r="C7" s="308">
        <v>1</v>
      </c>
      <c r="D7" s="308">
        <v>2</v>
      </c>
      <c r="E7" s="308">
        <v>3</v>
      </c>
      <c r="F7" s="309">
        <v>3</v>
      </c>
      <c r="G7" s="91">
        <f t="shared" si="0"/>
        <v>9</v>
      </c>
      <c r="H7" s="91"/>
    </row>
    <row r="8" spans="1:14">
      <c r="A8" s="86" t="s">
        <v>320</v>
      </c>
      <c r="B8" s="30">
        <f>SUM(B4:B7)</f>
        <v>21</v>
      </c>
      <c r="C8" s="30">
        <f t="shared" ref="C8:F8" si="1">SUM(C4:C7)</f>
        <v>27</v>
      </c>
      <c r="D8" s="30">
        <f t="shared" si="1"/>
        <v>27</v>
      </c>
      <c r="E8" s="30">
        <f t="shared" si="1"/>
        <v>22</v>
      </c>
      <c r="F8" s="30">
        <f t="shared" si="1"/>
        <v>17</v>
      </c>
      <c r="G8" s="98">
        <f>SUM(B4:F7)</f>
        <v>114</v>
      </c>
      <c r="H8" s="99"/>
    </row>
    <row r="9" spans="1:14">
      <c r="G9" s="31"/>
      <c r="H9" s="31"/>
    </row>
    <row r="10" spans="1:14" s="34" customFormat="1">
      <c r="A10" s="100" t="s">
        <v>568</v>
      </c>
      <c r="B10" s="85" t="s">
        <v>268</v>
      </c>
      <c r="C10" s="85" t="s">
        <v>269</v>
      </c>
      <c r="D10" s="85" t="s">
        <v>270</v>
      </c>
      <c r="E10" s="85" t="s">
        <v>271</v>
      </c>
      <c r="F10" s="85" t="s">
        <v>272</v>
      </c>
      <c r="G10" s="101"/>
      <c r="H10" s="102" t="s">
        <v>569</v>
      </c>
      <c r="I10" s="85" t="s">
        <v>268</v>
      </c>
      <c r="J10" s="85" t="s">
        <v>269</v>
      </c>
      <c r="K10" s="85" t="s">
        <v>270</v>
      </c>
      <c r="L10" s="85" t="s">
        <v>271</v>
      </c>
      <c r="M10" s="85" t="s">
        <v>272</v>
      </c>
      <c r="N10"/>
    </row>
    <row r="11" spans="1:14">
      <c r="A11" s="85" t="s">
        <v>206</v>
      </c>
      <c r="B11" s="103">
        <f t="shared" ref="B11:F14" si="2">B4/$G4</f>
        <v>0.16129032258064516</v>
      </c>
      <c r="C11" s="103">
        <f t="shared" si="2"/>
        <v>0.30645161290322581</v>
      </c>
      <c r="D11" s="103">
        <f t="shared" si="2"/>
        <v>0.22580645161290322</v>
      </c>
      <c r="E11" s="103">
        <f t="shared" si="2"/>
        <v>0.11290322580645161</v>
      </c>
      <c r="F11" s="103">
        <f t="shared" si="2"/>
        <v>0.19354838709677419</v>
      </c>
      <c r="H11" s="104" t="s">
        <v>206</v>
      </c>
      <c r="I11" s="103">
        <f>B4/B$8</f>
        <v>0.47619047619047616</v>
      </c>
      <c r="J11" s="103">
        <f t="shared" ref="J11:M11" si="3">C4/C$8</f>
        <v>0.70370370370370372</v>
      </c>
      <c r="K11" s="103">
        <f t="shared" si="3"/>
        <v>0.51851851851851849</v>
      </c>
      <c r="L11" s="103">
        <f t="shared" si="3"/>
        <v>0.31818181818181818</v>
      </c>
      <c r="M11" s="103">
        <f t="shared" si="3"/>
        <v>0.70588235294117652</v>
      </c>
    </row>
    <row r="12" spans="1:14">
      <c r="A12" s="85" t="s">
        <v>207</v>
      </c>
      <c r="B12" s="103">
        <f t="shared" si="2"/>
        <v>0.37931034482758619</v>
      </c>
      <c r="C12" s="103">
        <f t="shared" si="2"/>
        <v>0.2413793103448276</v>
      </c>
      <c r="D12" s="103">
        <f t="shared" si="2"/>
        <v>0.34482758620689657</v>
      </c>
      <c r="E12" s="103">
        <f t="shared" si="2"/>
        <v>0</v>
      </c>
      <c r="F12" s="103">
        <f t="shared" si="2"/>
        <v>3.4482758620689655E-2</v>
      </c>
      <c r="H12" s="104" t="s">
        <v>207</v>
      </c>
      <c r="I12" s="103">
        <f t="shared" ref="I12:M12" si="4">B5/B$8</f>
        <v>0.52380952380952384</v>
      </c>
      <c r="J12" s="103">
        <f t="shared" si="4"/>
        <v>0.25925925925925924</v>
      </c>
      <c r="K12" s="103">
        <f t="shared" si="4"/>
        <v>0.37037037037037035</v>
      </c>
      <c r="L12" s="103">
        <f t="shared" si="4"/>
        <v>0</v>
      </c>
      <c r="M12" s="103">
        <f t="shared" si="4"/>
        <v>5.8823529411764705E-2</v>
      </c>
    </row>
    <row r="13" spans="1:14">
      <c r="A13" s="85" t="s">
        <v>208</v>
      </c>
      <c r="B13" s="103">
        <f t="shared" si="2"/>
        <v>0</v>
      </c>
      <c r="C13" s="103">
        <f t="shared" si="2"/>
        <v>0</v>
      </c>
      <c r="D13" s="103">
        <f t="shared" si="2"/>
        <v>7.1428571428571425E-2</v>
      </c>
      <c r="E13" s="103">
        <f t="shared" si="2"/>
        <v>0.8571428571428571</v>
      </c>
      <c r="F13" s="103">
        <f t="shared" si="2"/>
        <v>7.1428571428571425E-2</v>
      </c>
      <c r="H13" s="104" t="s">
        <v>208</v>
      </c>
      <c r="I13" s="103">
        <f t="shared" ref="I13:M13" si="5">B6/B$8</f>
        <v>0</v>
      </c>
      <c r="J13" s="103">
        <f t="shared" si="5"/>
        <v>0</v>
      </c>
      <c r="K13" s="103">
        <f t="shared" si="5"/>
        <v>3.7037037037037035E-2</v>
      </c>
      <c r="L13" s="103">
        <f t="shared" si="5"/>
        <v>0.54545454545454541</v>
      </c>
      <c r="M13" s="103">
        <f t="shared" si="5"/>
        <v>5.8823529411764705E-2</v>
      </c>
    </row>
    <row r="14" spans="1:14">
      <c r="A14" s="85" t="s">
        <v>209</v>
      </c>
      <c r="B14" s="103">
        <f t="shared" si="2"/>
        <v>0</v>
      </c>
      <c r="C14" s="103">
        <f t="shared" si="2"/>
        <v>0.1111111111111111</v>
      </c>
      <c r="D14" s="103">
        <f t="shared" si="2"/>
        <v>0.22222222222222221</v>
      </c>
      <c r="E14" s="103">
        <f t="shared" si="2"/>
        <v>0.33333333333333331</v>
      </c>
      <c r="F14" s="103">
        <f t="shared" si="2"/>
        <v>0.33333333333333331</v>
      </c>
      <c r="H14" s="104" t="s">
        <v>209</v>
      </c>
      <c r="I14" s="103">
        <f t="shared" ref="I14:M14" si="6">B7/B$8</f>
        <v>0</v>
      </c>
      <c r="J14" s="103">
        <f t="shared" si="6"/>
        <v>3.7037037037037035E-2</v>
      </c>
      <c r="K14" s="103">
        <f t="shared" si="6"/>
        <v>7.407407407407407E-2</v>
      </c>
      <c r="L14" s="103">
        <f t="shared" si="6"/>
        <v>0.13636363636363635</v>
      </c>
      <c r="M14" s="103">
        <f t="shared" si="6"/>
        <v>0.17647058823529413</v>
      </c>
    </row>
    <row r="15" spans="1:14">
      <c r="B15" s="105"/>
      <c r="C15" s="105"/>
      <c r="D15" s="105"/>
      <c r="E15" s="105"/>
      <c r="F15" s="105"/>
    </row>
    <row r="16" spans="1:14" s="34" customFormat="1">
      <c r="A16" s="100" t="s">
        <v>570</v>
      </c>
      <c r="B16" s="106" t="s">
        <v>268</v>
      </c>
      <c r="C16" s="106" t="s">
        <v>269</v>
      </c>
      <c r="D16" s="106" t="s">
        <v>270</v>
      </c>
      <c r="E16" s="106" t="s">
        <v>271</v>
      </c>
      <c r="F16" s="106" t="s">
        <v>272</v>
      </c>
      <c r="G16" s="104"/>
      <c r="H16" s="100" t="s">
        <v>571</v>
      </c>
      <c r="I16" s="106" t="s">
        <v>268</v>
      </c>
      <c r="J16" s="106" t="s">
        <v>269</v>
      </c>
      <c r="K16" s="106" t="s">
        <v>270</v>
      </c>
      <c r="L16" s="106" t="s">
        <v>271</v>
      </c>
      <c r="M16" s="106" t="s">
        <v>272</v>
      </c>
      <c r="N16"/>
    </row>
    <row r="17" spans="1:14">
      <c r="A17" s="104" t="s">
        <v>206</v>
      </c>
      <c r="B17" s="103">
        <f t="shared" ref="B17:F20" si="7">2*B4/($G4+B$8)</f>
        <v>0.24096385542168675</v>
      </c>
      <c r="C17" s="103">
        <f t="shared" si="7"/>
        <v>0.42696629213483145</v>
      </c>
      <c r="D17" s="103">
        <f t="shared" si="7"/>
        <v>0.3146067415730337</v>
      </c>
      <c r="E17" s="103">
        <f t="shared" si="7"/>
        <v>0.16666666666666666</v>
      </c>
      <c r="F17" s="103">
        <f t="shared" si="7"/>
        <v>0.30379746835443039</v>
      </c>
      <c r="G17" s="107"/>
      <c r="H17" s="104" t="s">
        <v>206</v>
      </c>
      <c r="I17" s="103">
        <f>B4/$G$8</f>
        <v>8.771929824561403E-2</v>
      </c>
      <c r="J17" s="103">
        <f t="shared" ref="J17:M17" si="8">C4/$G$8</f>
        <v>0.16666666666666666</v>
      </c>
      <c r="K17" s="103">
        <f t="shared" si="8"/>
        <v>0.12280701754385964</v>
      </c>
      <c r="L17" s="103">
        <f t="shared" si="8"/>
        <v>6.1403508771929821E-2</v>
      </c>
      <c r="M17" s="103">
        <f t="shared" si="8"/>
        <v>0.10526315789473684</v>
      </c>
    </row>
    <row r="18" spans="1:14">
      <c r="A18" s="104" t="s">
        <v>207</v>
      </c>
      <c r="B18" s="103">
        <f t="shared" si="7"/>
        <v>0.44</v>
      </c>
      <c r="C18" s="103">
        <f t="shared" si="7"/>
        <v>0.25</v>
      </c>
      <c r="D18" s="103">
        <f t="shared" si="7"/>
        <v>0.35714285714285715</v>
      </c>
      <c r="E18" s="103">
        <f t="shared" si="7"/>
        <v>0</v>
      </c>
      <c r="F18" s="103">
        <f t="shared" si="7"/>
        <v>4.3478260869565216E-2</v>
      </c>
      <c r="H18" s="104" t="s">
        <v>207</v>
      </c>
      <c r="I18" s="103">
        <f t="shared" ref="I18:M18" si="9">B5/$G$8</f>
        <v>9.6491228070175433E-2</v>
      </c>
      <c r="J18" s="103">
        <f t="shared" si="9"/>
        <v>6.1403508771929821E-2</v>
      </c>
      <c r="K18" s="103">
        <f t="shared" si="9"/>
        <v>8.771929824561403E-2</v>
      </c>
      <c r="L18" s="103">
        <f t="shared" si="9"/>
        <v>0</v>
      </c>
      <c r="M18" s="103">
        <f t="shared" si="9"/>
        <v>8.771929824561403E-3</v>
      </c>
    </row>
    <row r="19" spans="1:14">
      <c r="A19" s="104" t="s">
        <v>208</v>
      </c>
      <c r="B19" s="103">
        <f t="shared" si="7"/>
        <v>0</v>
      </c>
      <c r="C19" s="103">
        <f t="shared" si="7"/>
        <v>0</v>
      </c>
      <c r="D19" s="103">
        <f t="shared" si="7"/>
        <v>4.878048780487805E-2</v>
      </c>
      <c r="E19" s="103">
        <f t="shared" si="7"/>
        <v>0.66666666666666663</v>
      </c>
      <c r="F19" s="103">
        <f t="shared" si="7"/>
        <v>6.4516129032258063E-2</v>
      </c>
      <c r="H19" s="104" t="s">
        <v>208</v>
      </c>
      <c r="I19" s="103">
        <f t="shared" ref="I19:M19" si="10">B6/$G$8</f>
        <v>0</v>
      </c>
      <c r="J19" s="103">
        <f t="shared" si="10"/>
        <v>0</v>
      </c>
      <c r="K19" s="103">
        <f t="shared" si="10"/>
        <v>8.771929824561403E-3</v>
      </c>
      <c r="L19" s="103">
        <f t="shared" si="10"/>
        <v>0.10526315789473684</v>
      </c>
      <c r="M19" s="103">
        <f t="shared" si="10"/>
        <v>8.771929824561403E-3</v>
      </c>
    </row>
    <row r="20" spans="1:14">
      <c r="A20" s="104" t="s">
        <v>209</v>
      </c>
      <c r="B20" s="103">
        <f t="shared" si="7"/>
        <v>0</v>
      </c>
      <c r="C20" s="103">
        <f t="shared" si="7"/>
        <v>5.5555555555555552E-2</v>
      </c>
      <c r="D20" s="103">
        <f t="shared" si="7"/>
        <v>0.1111111111111111</v>
      </c>
      <c r="E20" s="103">
        <f t="shared" si="7"/>
        <v>0.19354838709677419</v>
      </c>
      <c r="F20" s="103">
        <f t="shared" si="7"/>
        <v>0.23076923076923078</v>
      </c>
      <c r="H20" s="104" t="s">
        <v>209</v>
      </c>
      <c r="I20" s="103">
        <f t="shared" ref="I20:M20" si="11">B7/$G$8</f>
        <v>0</v>
      </c>
      <c r="J20" s="103">
        <f t="shared" si="11"/>
        <v>8.771929824561403E-3</v>
      </c>
      <c r="K20" s="103">
        <f t="shared" si="11"/>
        <v>1.7543859649122806E-2</v>
      </c>
      <c r="L20" s="103">
        <f t="shared" si="11"/>
        <v>2.6315789473684209E-2</v>
      </c>
      <c r="M20" s="103">
        <f t="shared" si="11"/>
        <v>2.6315789473684209E-2</v>
      </c>
    </row>
    <row r="21" spans="1:14">
      <c r="A21" s="104"/>
      <c r="B21" s="105"/>
      <c r="C21" s="105"/>
      <c r="D21" s="105"/>
      <c r="E21" s="105"/>
      <c r="F21" s="105"/>
    </row>
    <row r="22" spans="1:14" s="34" customFormat="1">
      <c r="A22" s="108" t="s">
        <v>568</v>
      </c>
      <c r="B22" s="109" t="s">
        <v>268</v>
      </c>
      <c r="C22" s="109" t="s">
        <v>269</v>
      </c>
      <c r="D22" s="109" t="s">
        <v>270</v>
      </c>
      <c r="E22" s="109" t="s">
        <v>271</v>
      </c>
      <c r="F22" s="110" t="s">
        <v>272</v>
      </c>
      <c r="G22" s="85"/>
      <c r="H22" s="111" t="s">
        <v>572</v>
      </c>
      <c r="I22" s="112" t="s">
        <v>268</v>
      </c>
      <c r="J22" s="112" t="s">
        <v>269</v>
      </c>
      <c r="K22" s="112" t="s">
        <v>270</v>
      </c>
      <c r="L22" s="112" t="s">
        <v>271</v>
      </c>
      <c r="M22" s="113" t="s">
        <v>272</v>
      </c>
      <c r="N22"/>
    </row>
    <row r="23" spans="1:14">
      <c r="A23" s="114" t="s">
        <v>206</v>
      </c>
      <c r="B23" s="115">
        <f>B4/$G4</f>
        <v>0.16129032258064516</v>
      </c>
      <c r="C23" s="116">
        <f t="shared" ref="C23:F23" si="12">C4/$G4</f>
        <v>0.30645161290322581</v>
      </c>
      <c r="D23" s="116">
        <f t="shared" si="12"/>
        <v>0.22580645161290322</v>
      </c>
      <c r="E23" s="116">
        <f t="shared" si="12"/>
        <v>0.11290322580645161</v>
      </c>
      <c r="F23" s="117">
        <f t="shared" si="12"/>
        <v>0.19354838709677419</v>
      </c>
      <c r="H23" s="118" t="s">
        <v>206</v>
      </c>
      <c r="I23" s="119">
        <v>-0.67741935483870974</v>
      </c>
      <c r="J23" s="120">
        <v>-0.38709677419354838</v>
      </c>
      <c r="K23" s="120">
        <v>-0.54838709677419351</v>
      </c>
      <c r="L23" s="120">
        <v>-0.77419354838709675</v>
      </c>
      <c r="M23" s="121">
        <v>-0.61290322580645162</v>
      </c>
    </row>
    <row r="24" spans="1:14">
      <c r="A24" s="114" t="s">
        <v>207</v>
      </c>
      <c r="B24" s="122">
        <f t="shared" ref="B24:F24" si="13">B5/$G5</f>
        <v>0.37931034482758619</v>
      </c>
      <c r="C24" s="103">
        <f t="shared" si="13"/>
        <v>0.2413793103448276</v>
      </c>
      <c r="D24" s="103">
        <f t="shared" si="13"/>
        <v>0.34482758620689657</v>
      </c>
      <c r="E24" s="103">
        <f t="shared" si="13"/>
        <v>0</v>
      </c>
      <c r="F24" s="123">
        <f t="shared" si="13"/>
        <v>3.4482758620689655E-2</v>
      </c>
      <c r="H24" s="118" t="s">
        <v>207</v>
      </c>
      <c r="I24" s="124">
        <v>-0.24137931034482762</v>
      </c>
      <c r="J24" s="125">
        <v>-0.51724137931034475</v>
      </c>
      <c r="K24" s="125">
        <v>-0.31034482758620685</v>
      </c>
      <c r="L24" s="125">
        <v>-1</v>
      </c>
      <c r="M24" s="126">
        <v>-0.93103448275862066</v>
      </c>
    </row>
    <row r="25" spans="1:14">
      <c r="A25" s="114" t="s">
        <v>208</v>
      </c>
      <c r="B25" s="122">
        <f t="shared" ref="B25:F25" si="14">B6/$G6</f>
        <v>0</v>
      </c>
      <c r="C25" s="103">
        <f t="shared" si="14"/>
        <v>0</v>
      </c>
      <c r="D25" s="103">
        <f t="shared" si="14"/>
        <v>7.1428571428571425E-2</v>
      </c>
      <c r="E25" s="103">
        <f t="shared" si="14"/>
        <v>0.8571428571428571</v>
      </c>
      <c r="F25" s="123">
        <f t="shared" si="14"/>
        <v>7.1428571428571425E-2</v>
      </c>
      <c r="H25" s="118" t="s">
        <v>208</v>
      </c>
      <c r="I25" s="124">
        <v>-1</v>
      </c>
      <c r="J25" s="125">
        <v>-1</v>
      </c>
      <c r="K25" s="125">
        <v>-0.85714285714285721</v>
      </c>
      <c r="L25" s="125">
        <v>0.71428571428571419</v>
      </c>
      <c r="M25" s="126">
        <v>-0.85714285714285721</v>
      </c>
    </row>
    <row r="26" spans="1:14">
      <c r="A26" s="127" t="s">
        <v>209</v>
      </c>
      <c r="B26" s="128">
        <f t="shared" ref="B26:F26" si="15">B7/$G7</f>
        <v>0</v>
      </c>
      <c r="C26" s="129">
        <f t="shared" si="15"/>
        <v>0.1111111111111111</v>
      </c>
      <c r="D26" s="129">
        <f t="shared" si="15"/>
        <v>0.22222222222222221</v>
      </c>
      <c r="E26" s="129">
        <f t="shared" si="15"/>
        <v>0.33333333333333331</v>
      </c>
      <c r="F26" s="130">
        <f t="shared" si="15"/>
        <v>0.33333333333333331</v>
      </c>
      <c r="H26" s="131" t="s">
        <v>209</v>
      </c>
      <c r="I26" s="132">
        <v>-1</v>
      </c>
      <c r="J26" s="133">
        <v>-0.77777777777777779</v>
      </c>
      <c r="K26" s="133">
        <v>-0.55555555555555558</v>
      </c>
      <c r="L26" s="133">
        <v>-0.33333333333333337</v>
      </c>
      <c r="M26" s="134">
        <v>-0.33333333333333337</v>
      </c>
    </row>
    <row r="27" spans="1:14">
      <c r="A27" s="104"/>
      <c r="B27" s="105"/>
      <c r="C27" s="105"/>
      <c r="D27" s="105"/>
      <c r="E27" s="105"/>
      <c r="F27" s="105"/>
    </row>
    <row r="28" spans="1:14">
      <c r="A28" s="41" t="s">
        <v>573</v>
      </c>
      <c r="B28" s="172" t="s">
        <v>268</v>
      </c>
      <c r="C28" s="172" t="s">
        <v>269</v>
      </c>
      <c r="D28" s="172" t="s">
        <v>270</v>
      </c>
      <c r="E28" s="172" t="s">
        <v>271</v>
      </c>
      <c r="F28" s="173" t="s">
        <v>272</v>
      </c>
      <c r="G28" s="83"/>
      <c r="H28" s="41" t="s">
        <v>574</v>
      </c>
      <c r="I28" s="172" t="s">
        <v>268</v>
      </c>
      <c r="J28" s="172" t="s">
        <v>269</v>
      </c>
      <c r="K28" s="172" t="s">
        <v>270</v>
      </c>
      <c r="L28" s="172" t="s">
        <v>271</v>
      </c>
      <c r="M28" s="173" t="s">
        <v>272</v>
      </c>
    </row>
    <row r="29" spans="1:14">
      <c r="A29" s="174" t="s">
        <v>206</v>
      </c>
      <c r="B29" s="119">
        <v>0.43478260869565216</v>
      </c>
      <c r="C29" s="120">
        <v>0.6386554621848739</v>
      </c>
      <c r="D29" s="120">
        <v>0.53846153846153844</v>
      </c>
      <c r="E29" s="120">
        <v>0.33734939759036142</v>
      </c>
      <c r="F29" s="121">
        <v>0.48979591836734693</v>
      </c>
      <c r="G29" s="83"/>
      <c r="H29" s="174" t="s">
        <v>206</v>
      </c>
      <c r="I29" s="119">
        <v>-0.13043478260869568</v>
      </c>
      <c r="J29" s="120">
        <v>0.2773109243697478</v>
      </c>
      <c r="K29" s="120">
        <v>7.6923076923076872E-2</v>
      </c>
      <c r="L29" s="120">
        <v>-0.32530120481927716</v>
      </c>
      <c r="M29" s="121">
        <v>-2.0408163265306145E-2</v>
      </c>
    </row>
    <row r="30" spans="1:14">
      <c r="A30" s="174" t="s">
        <v>207</v>
      </c>
      <c r="B30" s="124">
        <v>0.70967741935483875</v>
      </c>
      <c r="C30" s="125">
        <v>0.56000000000000005</v>
      </c>
      <c r="D30" s="125">
        <v>0.67796610169491522</v>
      </c>
      <c r="E30" s="125">
        <v>0</v>
      </c>
      <c r="F30" s="126">
        <v>0.125</v>
      </c>
      <c r="H30" s="174" t="s">
        <v>207</v>
      </c>
      <c r="I30" s="124">
        <v>0.41935483870967749</v>
      </c>
      <c r="J30" s="125">
        <v>0.12000000000000011</v>
      </c>
      <c r="K30" s="125">
        <v>0.35593220338983045</v>
      </c>
      <c r="L30" s="125">
        <v>-1</v>
      </c>
      <c r="M30" s="126">
        <v>-0.75</v>
      </c>
    </row>
    <row r="31" spans="1:14">
      <c r="A31" s="174" t="s">
        <v>208</v>
      </c>
      <c r="B31" s="124">
        <v>0</v>
      </c>
      <c r="C31" s="125">
        <v>0</v>
      </c>
      <c r="D31" s="125">
        <v>0.23529411764705882</v>
      </c>
      <c r="E31" s="125">
        <v>0.96</v>
      </c>
      <c r="F31" s="126">
        <v>0.23529411764705882</v>
      </c>
      <c r="H31" s="174" t="s">
        <v>208</v>
      </c>
      <c r="I31" s="124">
        <v>-1</v>
      </c>
      <c r="J31" s="125">
        <v>-1</v>
      </c>
      <c r="K31" s="125">
        <v>-0.52941176470588236</v>
      </c>
      <c r="L31" s="125">
        <v>0.91999999999999993</v>
      </c>
      <c r="M31" s="126">
        <v>-0.52941176470588236</v>
      </c>
    </row>
    <row r="32" spans="1:14">
      <c r="A32" s="175" t="s">
        <v>209</v>
      </c>
      <c r="B32" s="132">
        <v>0</v>
      </c>
      <c r="C32" s="133">
        <v>0.33333333333333331</v>
      </c>
      <c r="D32" s="133">
        <v>0.53333333333333333</v>
      </c>
      <c r="E32" s="133">
        <v>0.66666666666666663</v>
      </c>
      <c r="F32" s="134">
        <v>0.66666666666666663</v>
      </c>
      <c r="H32" s="175" t="s">
        <v>209</v>
      </c>
      <c r="I32" s="132">
        <v>-1</v>
      </c>
      <c r="J32" s="133">
        <v>-0.33333333333333337</v>
      </c>
      <c r="K32" s="133">
        <v>6.6666666666666652E-2</v>
      </c>
      <c r="L32" s="133">
        <v>0.33333333333333326</v>
      </c>
      <c r="M32" s="134">
        <v>0.33333333333333326</v>
      </c>
    </row>
  </sheetData>
  <phoneticPr fontId="2"/>
  <conditionalFormatting sqref="B11:F14">
    <cfRule type="dataBar" priority="3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{95A97570-D2A6-41AC-97B2-1A632689A31D}</x14:id>
        </ext>
      </extLst>
    </cfRule>
  </conditionalFormatting>
  <conditionalFormatting sqref="B11:F14">
    <cfRule type="dataBar" priority="3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{71BEBA2A-0FC7-4062-8093-F230EAAEA6F8}</x14:id>
        </ext>
      </extLst>
    </cfRule>
  </conditionalFormatting>
  <conditionalFormatting sqref="B17:F20">
    <cfRule type="dataBar" priority="2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{495D4F76-2014-4FA7-A2C8-DB66490144CA}</x14:id>
        </ext>
      </extLst>
    </cfRule>
  </conditionalFormatting>
  <conditionalFormatting sqref="B17:F20">
    <cfRule type="dataBar" priority="2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{DE68592E-FE79-49C7-BEC5-751A7BD84BDA}</x14:id>
        </ext>
      </extLst>
    </cfRule>
  </conditionalFormatting>
  <conditionalFormatting sqref="B27:F27 B16:F16 B21:F21">
    <cfRule type="dataBar" priority="1701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{5ACBC274-F3B1-45B3-8E4C-8A35C1B8179D}</x14:id>
        </ext>
      </extLst>
    </cfRule>
    <cfRule type="dataBar" priority="170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{56D5940B-14E8-4170-992A-658B81A4A045}</x14:id>
        </ext>
      </extLst>
    </cfRule>
  </conditionalFormatting>
  <conditionalFormatting sqref="B27:F27 B16:F16 B21:F21">
    <cfRule type="dataBar" priority="170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{85295BB1-88AE-4196-97BE-CFC7B2D89C22}</x14:id>
        </ext>
      </extLst>
    </cfRule>
  </conditionalFormatting>
  <conditionalFormatting sqref="B15:F15">
    <cfRule type="dataBar" priority="1709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{6FB5DF0A-BD23-463E-97C6-20A770721AB9}</x14:id>
        </ext>
      </extLst>
    </cfRule>
    <cfRule type="dataBar" priority="171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{70CD5765-99EA-4F47-9DB7-1EE21812B355}</x14:id>
        </ext>
      </extLst>
    </cfRule>
  </conditionalFormatting>
  <conditionalFormatting sqref="B15:F15">
    <cfRule type="dataBar" priority="171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{C6F7E661-28ED-4390-AE68-184A7E5174B1}</x14:id>
        </ext>
      </extLst>
    </cfRule>
  </conditionalFormatting>
  <conditionalFormatting sqref="B4:F7">
    <cfRule type="dataBar" priority="1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{A5285CC9-0EB8-4274-8FCC-8B36D46812A0}</x14:id>
        </ext>
      </extLst>
    </cfRule>
  </conditionalFormatting>
  <conditionalFormatting sqref="B4:F7">
    <cfRule type="dataBar" priority="1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{686489F9-3034-4A6E-BA1F-A4D14A095E4E}</x14:id>
        </ext>
      </extLst>
    </cfRule>
  </conditionalFormatting>
  <conditionalFormatting sqref="I11:M14">
    <cfRule type="dataBar" priority="1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{BCEC2656-2D58-443F-A92B-5BD78EB60F73}</x14:id>
        </ext>
      </extLst>
    </cfRule>
  </conditionalFormatting>
  <conditionalFormatting sqref="I11:M14">
    <cfRule type="dataBar" priority="1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{2A6CE212-CED9-4C80-B045-47FEED0096E9}</x14:id>
        </ext>
      </extLst>
    </cfRule>
  </conditionalFormatting>
  <conditionalFormatting sqref="I17:M20">
    <cfRule type="dataBar" priority="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{771C03E0-C008-4087-947A-510D8EE1C26A}</x14:id>
        </ext>
      </extLst>
    </cfRule>
  </conditionalFormatting>
  <conditionalFormatting sqref="I17:M20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{2A37FA6B-79DC-460D-9A22-C1A99F95BADB}</x14:id>
        </ext>
      </extLst>
    </cfRule>
  </conditionalFormatting>
  <conditionalFormatting sqref="I16:M16">
    <cfRule type="dataBar" priority="7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{7D746F23-E0B4-4A0E-960B-61661C0F568E}</x14:id>
        </ext>
      </extLst>
    </cfRule>
    <cfRule type="dataBar" priority="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{9428DF71-0C1E-4730-BD30-95C31BED8B4B}</x14:id>
        </ext>
      </extLst>
    </cfRule>
  </conditionalFormatting>
  <conditionalFormatting sqref="I16:M16">
    <cfRule type="dataBar" priority="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{F7EAEEC0-1A5B-4FA4-ABEB-5E5A04202C0D}</x14:id>
        </ext>
      </extLst>
    </cfRule>
  </conditionalFormatting>
  <conditionalFormatting sqref="B23:F26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{3ECE4D5B-E253-4788-88B5-98E183A6A6AC}</x14:id>
        </ext>
      </extLst>
    </cfRule>
  </conditionalFormatting>
  <conditionalFormatting sqref="B23:F26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{1415205D-B32B-4D27-9563-77E98BD4F701}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A97570-D2A6-41AC-97B2-1A632689A31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B11:F14</xm:sqref>
        </x14:conditionalFormatting>
        <x14:conditionalFormatting xmlns:xm="http://schemas.microsoft.com/office/excel/2006/main">
          <x14:cfRule type="dataBar" id="{71BEBA2A-0FC7-4062-8093-F230EAAEA6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B11:F14</xm:sqref>
        </x14:conditionalFormatting>
        <x14:conditionalFormatting xmlns:xm="http://schemas.microsoft.com/office/excel/2006/main">
          <x14:cfRule type="dataBar" id="{495D4F76-2014-4FA7-A2C8-DB66490144C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B17:F20</xm:sqref>
        </x14:conditionalFormatting>
        <x14:conditionalFormatting xmlns:xm="http://schemas.microsoft.com/office/excel/2006/main">
          <x14:cfRule type="dataBar" id="{DE68592E-FE79-49C7-BEC5-751A7BD84B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B17:F20</xm:sqref>
        </x14:conditionalFormatting>
        <x14:conditionalFormatting xmlns:xm="http://schemas.microsoft.com/office/excel/2006/main">
          <x14:cfRule type="dataBar" id="{5ACBC274-F3B1-45B3-8E4C-8A35C1B8179D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56D5940B-14E8-4170-992A-658B81A4A04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B27:F27 B16:F16 B21:F21</xm:sqref>
        </x14:conditionalFormatting>
        <x14:conditionalFormatting xmlns:xm="http://schemas.microsoft.com/office/excel/2006/main">
          <x14:cfRule type="dataBar" id="{85295BB1-88AE-4196-97BE-CFC7B2D89C2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B27:F27 B16:F16 B21:F21</xm:sqref>
        </x14:conditionalFormatting>
        <x14:conditionalFormatting xmlns:xm="http://schemas.microsoft.com/office/excel/2006/main">
          <x14:cfRule type="dataBar" id="{6FB5DF0A-BD23-463E-97C6-20A770721AB9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0CD5765-99EA-4F47-9DB7-1EE21812B35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B15:F15</xm:sqref>
        </x14:conditionalFormatting>
        <x14:conditionalFormatting xmlns:xm="http://schemas.microsoft.com/office/excel/2006/main">
          <x14:cfRule type="dataBar" id="{C6F7E661-28ED-4390-AE68-184A7E5174B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B15:F15</xm:sqref>
        </x14:conditionalFormatting>
        <x14:conditionalFormatting xmlns:xm="http://schemas.microsoft.com/office/excel/2006/main">
          <x14:cfRule type="dataBar" id="{A5285CC9-0EB8-4274-8FCC-8B36D46812A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686489F9-3034-4A6E-BA1F-A4D14A095E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BCEC2656-2D58-443F-A92B-5BD78EB60F7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I11:M14</xm:sqref>
        </x14:conditionalFormatting>
        <x14:conditionalFormatting xmlns:xm="http://schemas.microsoft.com/office/excel/2006/main">
          <x14:cfRule type="dataBar" id="{2A6CE212-CED9-4C80-B045-47FEED0096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I11:M14</xm:sqref>
        </x14:conditionalFormatting>
        <x14:conditionalFormatting xmlns:xm="http://schemas.microsoft.com/office/excel/2006/main">
          <x14:cfRule type="dataBar" id="{771C03E0-C008-4087-947A-510D8EE1C26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I17:M20</xm:sqref>
        </x14:conditionalFormatting>
        <x14:conditionalFormatting xmlns:xm="http://schemas.microsoft.com/office/excel/2006/main">
          <x14:cfRule type="dataBar" id="{2A37FA6B-79DC-460D-9A22-C1A99F95B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I17:M20</xm:sqref>
        </x14:conditionalFormatting>
        <x14:conditionalFormatting xmlns:xm="http://schemas.microsoft.com/office/excel/2006/main">
          <x14:cfRule type="dataBar" id="{7D746F23-E0B4-4A0E-960B-61661C0F568E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428DF71-0C1E-4730-BD30-95C31BED8B4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I16:M16</xm:sqref>
        </x14:conditionalFormatting>
        <x14:conditionalFormatting xmlns:xm="http://schemas.microsoft.com/office/excel/2006/main">
          <x14:cfRule type="dataBar" id="{F7EAEEC0-1A5B-4FA4-ABEB-5E5A04202C0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I16:M16</xm:sqref>
        </x14:conditionalFormatting>
        <x14:conditionalFormatting xmlns:xm="http://schemas.microsoft.com/office/excel/2006/main">
          <x14:cfRule type="dataBar" id="{3ECE4D5B-E253-4788-88B5-98E183A6A6A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B23:F26</xm:sqref>
        </x14:conditionalFormatting>
        <x14:conditionalFormatting xmlns:xm="http://schemas.microsoft.com/office/excel/2006/main">
          <x14:cfRule type="dataBar" id="{1415205D-B32B-4D27-9563-77E98BD4F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B23:F26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B50"/>
  <sheetViews>
    <sheetView workbookViewId="0">
      <selection activeCell="I6" sqref="I6"/>
    </sheetView>
  </sheetViews>
  <sheetFormatPr defaultRowHeight="15.75"/>
  <cols>
    <col min="1" max="1" width="15" style="83" bestFit="1" customWidth="1"/>
    <col min="2" max="7" width="5" style="83" bestFit="1" customWidth="1"/>
    <col min="8" max="8" width="5.5" style="83" bestFit="1" customWidth="1"/>
    <col min="9" max="9" width="20.5" style="141" bestFit="1" customWidth="1"/>
    <col min="10" max="13" width="6.25" style="83" bestFit="1" customWidth="1"/>
    <col min="14" max="14" width="5.25" style="83" bestFit="1" customWidth="1"/>
    <col min="15" max="15" width="3.875" style="83" customWidth="1"/>
    <col min="16" max="16" width="8.375" style="83" bestFit="1" customWidth="1"/>
    <col min="17" max="17" width="6" style="83" bestFit="1" customWidth="1"/>
    <col min="18" max="21" width="6" bestFit="1" customWidth="1"/>
    <col min="22" max="22" width="3.625" customWidth="1"/>
    <col min="23" max="23" width="7.875" bestFit="1" customWidth="1"/>
    <col min="24" max="28" width="6" bestFit="1" customWidth="1"/>
  </cols>
  <sheetData>
    <row r="1" spans="1:28">
      <c r="A1" s="166" t="s">
        <v>218</v>
      </c>
      <c r="B1" s="105"/>
      <c r="C1" s="105"/>
      <c r="D1" s="105"/>
      <c r="E1" s="105"/>
      <c r="F1" s="105"/>
      <c r="G1" s="29"/>
      <c r="H1" s="29"/>
      <c r="I1" s="85"/>
      <c r="J1" s="29"/>
      <c r="K1" s="29"/>
    </row>
    <row r="2" spans="1:28">
      <c r="A2" s="104"/>
      <c r="B2" s="105"/>
      <c r="C2" s="105"/>
      <c r="D2" s="105"/>
      <c r="E2" s="105"/>
      <c r="F2" s="105"/>
      <c r="G2" s="29"/>
      <c r="H2" s="29"/>
      <c r="I2" s="85"/>
      <c r="J2" s="29"/>
      <c r="K2" s="29"/>
    </row>
    <row r="3" spans="1:28" s="34" customFormat="1">
      <c r="A3" s="84" t="s">
        <v>335</v>
      </c>
      <c r="B3" s="109" t="s">
        <v>268</v>
      </c>
      <c r="C3" s="109" t="s">
        <v>269</v>
      </c>
      <c r="D3" s="109" t="s">
        <v>270</v>
      </c>
      <c r="E3" s="109" t="s">
        <v>271</v>
      </c>
      <c r="F3" s="110" t="s">
        <v>272</v>
      </c>
      <c r="G3" s="35" t="s">
        <v>235</v>
      </c>
      <c r="H3" s="36" t="s">
        <v>236</v>
      </c>
      <c r="I3" s="85"/>
      <c r="J3" s="85"/>
      <c r="K3" s="85"/>
      <c r="L3" s="141"/>
      <c r="M3" s="141"/>
      <c r="N3" s="141"/>
      <c r="O3" s="141"/>
      <c r="P3" s="141"/>
      <c r="Q3" s="141"/>
    </row>
    <row r="4" spans="1:28">
      <c r="A4" s="298" t="s">
        <v>206</v>
      </c>
      <c r="B4" s="88">
        <v>10</v>
      </c>
      <c r="C4" s="89">
        <v>19</v>
      </c>
      <c r="D4" s="89">
        <v>14</v>
      </c>
      <c r="E4" s="89">
        <v>7</v>
      </c>
      <c r="F4" s="90">
        <v>12</v>
      </c>
      <c r="G4" s="24">
        <f>SUM(B4:F4)</f>
        <v>62</v>
      </c>
      <c r="H4" s="24">
        <v>5</v>
      </c>
      <c r="I4" s="153"/>
      <c r="J4" s="103"/>
      <c r="K4" s="103"/>
      <c r="L4" s="103"/>
      <c r="M4" s="103"/>
      <c r="N4" s="103"/>
    </row>
    <row r="5" spans="1:28">
      <c r="A5" s="298" t="s">
        <v>207</v>
      </c>
      <c r="B5" s="92">
        <v>11</v>
      </c>
      <c r="C5" s="93">
        <v>7</v>
      </c>
      <c r="D5" s="93">
        <v>10</v>
      </c>
      <c r="E5" s="93">
        <v>0</v>
      </c>
      <c r="F5" s="94">
        <v>1</v>
      </c>
      <c r="G5" s="24">
        <f t="shared" ref="G5:G7" si="0">SUM(B5:F5)</f>
        <v>29</v>
      </c>
      <c r="H5" s="24">
        <v>5</v>
      </c>
      <c r="I5" s="153"/>
      <c r="J5" s="103"/>
      <c r="K5" s="103"/>
      <c r="L5" s="103"/>
      <c r="M5" s="103"/>
      <c r="N5" s="103"/>
    </row>
    <row r="6" spans="1:28">
      <c r="A6" s="298" t="s">
        <v>208</v>
      </c>
      <c r="B6" s="92">
        <v>0</v>
      </c>
      <c r="C6" s="93">
        <v>0</v>
      </c>
      <c r="D6" s="93">
        <v>1</v>
      </c>
      <c r="E6" s="93">
        <v>12</v>
      </c>
      <c r="F6" s="94">
        <v>1</v>
      </c>
      <c r="G6" s="24">
        <f t="shared" si="0"/>
        <v>14</v>
      </c>
      <c r="H6" s="24">
        <v>5</v>
      </c>
      <c r="I6" s="153"/>
      <c r="J6" s="103"/>
      <c r="K6" s="103"/>
      <c r="L6" s="103"/>
      <c r="M6" s="103"/>
      <c r="N6" s="103"/>
    </row>
    <row r="7" spans="1:28">
      <c r="A7" s="299" t="s">
        <v>209</v>
      </c>
      <c r="B7" s="95">
        <v>0</v>
      </c>
      <c r="C7" s="96">
        <v>1</v>
      </c>
      <c r="D7" s="96">
        <v>2</v>
      </c>
      <c r="E7" s="96">
        <v>3</v>
      </c>
      <c r="F7" s="97">
        <v>3</v>
      </c>
      <c r="G7" s="24">
        <f t="shared" si="0"/>
        <v>9</v>
      </c>
      <c r="H7" s="24">
        <v>5</v>
      </c>
      <c r="I7" s="153"/>
      <c r="J7" s="103"/>
      <c r="K7" s="103"/>
      <c r="L7" s="103"/>
      <c r="M7" s="103"/>
      <c r="N7" s="103"/>
    </row>
    <row r="8" spans="1:28">
      <c r="A8" s="35" t="s">
        <v>235</v>
      </c>
      <c r="B8" s="24">
        <f>SUM(B4:B7)</f>
        <v>21</v>
      </c>
      <c r="C8" s="24">
        <f t="shared" ref="C8:F8" si="1">SUM(C4:C7)</f>
        <v>27</v>
      </c>
      <c r="D8" s="24">
        <f t="shared" si="1"/>
        <v>27</v>
      </c>
      <c r="E8" s="24">
        <f t="shared" si="1"/>
        <v>22</v>
      </c>
      <c r="F8" s="24">
        <f t="shared" si="1"/>
        <v>17</v>
      </c>
      <c r="G8" s="167">
        <f>SUM(B4:F7)</f>
        <v>114</v>
      </c>
      <c r="H8" s="168"/>
      <c r="I8" s="153"/>
      <c r="J8" s="103"/>
      <c r="K8" s="103"/>
      <c r="L8" s="103"/>
      <c r="M8" s="103"/>
      <c r="N8" s="103"/>
    </row>
    <row r="9" spans="1:28">
      <c r="A9" s="100" t="s">
        <v>236</v>
      </c>
      <c r="B9" s="24">
        <v>4</v>
      </c>
      <c r="C9" s="24">
        <v>4</v>
      </c>
      <c r="D9" s="24">
        <v>4</v>
      </c>
      <c r="E9" s="24">
        <v>4</v>
      </c>
      <c r="F9" s="24">
        <v>4</v>
      </c>
      <c r="G9" s="169"/>
      <c r="H9" s="170">
        <v>20</v>
      </c>
      <c r="I9" s="153"/>
      <c r="J9" s="103"/>
      <c r="K9" s="103"/>
      <c r="L9" s="103"/>
      <c r="M9" s="103"/>
      <c r="N9" s="103"/>
    </row>
    <row r="10" spans="1:28">
      <c r="A10" s="104"/>
      <c r="B10" s="103"/>
      <c r="C10" s="103"/>
      <c r="D10" s="103"/>
      <c r="E10" s="103"/>
      <c r="F10" s="103"/>
      <c r="G10" s="103"/>
      <c r="H10" s="103"/>
      <c r="I10" s="153"/>
      <c r="J10" s="103"/>
      <c r="K10" s="103"/>
      <c r="L10" s="103"/>
      <c r="M10" s="103"/>
      <c r="N10" s="103"/>
    </row>
    <row r="11" spans="1:28">
      <c r="A11" s="104"/>
      <c r="B11" s="103"/>
      <c r="C11" s="103"/>
      <c r="D11" s="103"/>
      <c r="E11" s="103"/>
      <c r="F11" s="103"/>
      <c r="G11" s="103"/>
      <c r="H11" s="103"/>
      <c r="I11" s="153"/>
      <c r="J11" s="103"/>
      <c r="K11" s="103"/>
      <c r="L11" s="103"/>
      <c r="M11" s="103"/>
      <c r="N11" s="103"/>
    </row>
    <row r="12" spans="1:28" s="34" customFormat="1">
      <c r="A12" s="148" t="s">
        <v>280</v>
      </c>
      <c r="B12" s="153" t="s">
        <v>268</v>
      </c>
      <c r="C12" s="153" t="s">
        <v>269</v>
      </c>
      <c r="D12" s="153" t="s">
        <v>270</v>
      </c>
      <c r="E12" s="153" t="s">
        <v>271</v>
      </c>
      <c r="F12" s="153" t="s">
        <v>272</v>
      </c>
      <c r="G12" s="153"/>
      <c r="H12" s="153"/>
      <c r="I12" s="153" t="s">
        <v>256</v>
      </c>
      <c r="J12" s="153" t="s">
        <v>268</v>
      </c>
      <c r="K12" s="153" t="s">
        <v>269</v>
      </c>
      <c r="L12" s="153" t="s">
        <v>270</v>
      </c>
      <c r="M12" s="153" t="s">
        <v>271</v>
      </c>
      <c r="N12" s="153" t="s">
        <v>272</v>
      </c>
      <c r="O12" s="141"/>
      <c r="P12" s="41" t="s">
        <v>532</v>
      </c>
      <c r="Q12" s="172" t="s">
        <v>268</v>
      </c>
      <c r="R12" s="42" t="s">
        <v>269</v>
      </c>
      <c r="S12" s="42" t="s">
        <v>270</v>
      </c>
      <c r="T12" s="42" t="s">
        <v>271</v>
      </c>
      <c r="U12" s="43" t="s">
        <v>272</v>
      </c>
      <c r="W12" s="41" t="s">
        <v>533</v>
      </c>
      <c r="X12" s="42" t="s">
        <v>268</v>
      </c>
      <c r="Y12" s="42" t="s">
        <v>269</v>
      </c>
      <c r="Z12" s="42" t="s">
        <v>270</v>
      </c>
      <c r="AA12" s="42" t="s">
        <v>271</v>
      </c>
      <c r="AB12" s="43" t="s">
        <v>272</v>
      </c>
    </row>
    <row r="13" spans="1:28">
      <c r="A13" s="104" t="s">
        <v>206</v>
      </c>
      <c r="B13" s="103">
        <f xml:space="preserve"> ($H4-1)*B4 /(($H4-2)*B4+$G4)</f>
        <v>0.43478260869565216</v>
      </c>
      <c r="C13" s="103">
        <f t="shared" ref="C13:F13" si="2" xml:space="preserve"> ($H4-1)*C4 /(($H4-2)*C4+$G4)</f>
        <v>0.6386554621848739</v>
      </c>
      <c r="D13" s="103">
        <f t="shared" si="2"/>
        <v>0.53846153846153844</v>
      </c>
      <c r="E13" s="103">
        <f t="shared" si="2"/>
        <v>0.33734939759036142</v>
      </c>
      <c r="F13" s="103">
        <f t="shared" si="2"/>
        <v>0.48979591836734693</v>
      </c>
      <c r="G13" s="103"/>
      <c r="H13" s="103"/>
      <c r="I13" s="153" t="s">
        <v>206</v>
      </c>
      <c r="J13" s="103">
        <f t="shared" ref="J13:N16" si="3">B13*2-1</f>
        <v>-0.13043478260869568</v>
      </c>
      <c r="K13" s="103">
        <f t="shared" si="3"/>
        <v>0.2773109243697478</v>
      </c>
      <c r="L13" s="103">
        <f t="shared" si="3"/>
        <v>7.6923076923076872E-2</v>
      </c>
      <c r="M13" s="103">
        <f t="shared" si="3"/>
        <v>-0.32530120481927716</v>
      </c>
      <c r="N13" s="103">
        <f t="shared" si="3"/>
        <v>-2.0408163265306145E-2</v>
      </c>
      <c r="P13" s="174" t="s">
        <v>206</v>
      </c>
      <c r="Q13" s="119">
        <v>0.43478260869565216</v>
      </c>
      <c r="R13" s="47">
        <v>0.6386554621848739</v>
      </c>
      <c r="S13" s="47">
        <v>0.53846153846153844</v>
      </c>
      <c r="T13" s="47">
        <v>0.33734939759036142</v>
      </c>
      <c r="U13" s="48">
        <v>0.48979591836734693</v>
      </c>
      <c r="W13" s="44" t="s">
        <v>206</v>
      </c>
      <c r="X13" s="46">
        <v>0.73170731707317072</v>
      </c>
      <c r="Y13" s="47">
        <v>0.87692307692307692</v>
      </c>
      <c r="Z13" s="47">
        <v>0.76363636363636367</v>
      </c>
      <c r="AA13" s="47">
        <v>0.58333333333333337</v>
      </c>
      <c r="AB13" s="48">
        <v>0.87804878048780488</v>
      </c>
    </row>
    <row r="14" spans="1:28">
      <c r="A14" s="104" t="s">
        <v>207</v>
      </c>
      <c r="B14" s="103">
        <f t="shared" ref="B14:F16" si="4" xml:space="preserve"> ($H5-1)*B5 /(($H5-2)*B5+$G5)</f>
        <v>0.70967741935483875</v>
      </c>
      <c r="C14" s="103">
        <f t="shared" si="4"/>
        <v>0.56000000000000005</v>
      </c>
      <c r="D14" s="103">
        <f t="shared" si="4"/>
        <v>0.67796610169491522</v>
      </c>
      <c r="E14" s="103">
        <f t="shared" si="4"/>
        <v>0</v>
      </c>
      <c r="F14" s="103">
        <f t="shared" si="4"/>
        <v>0.125</v>
      </c>
      <c r="G14" s="103"/>
      <c r="H14" s="103"/>
      <c r="I14" s="153" t="s">
        <v>207</v>
      </c>
      <c r="J14" s="103">
        <f t="shared" si="3"/>
        <v>0.41935483870967749</v>
      </c>
      <c r="K14" s="103">
        <f t="shared" si="3"/>
        <v>0.12000000000000011</v>
      </c>
      <c r="L14" s="103">
        <f t="shared" si="3"/>
        <v>0.35593220338983045</v>
      </c>
      <c r="M14" s="103">
        <f t="shared" si="3"/>
        <v>-1</v>
      </c>
      <c r="N14" s="103">
        <f t="shared" si="3"/>
        <v>-0.75</v>
      </c>
      <c r="P14" s="174" t="s">
        <v>207</v>
      </c>
      <c r="Q14" s="124">
        <v>0.70967741935483875</v>
      </c>
      <c r="R14" s="50">
        <v>0.56000000000000005</v>
      </c>
      <c r="S14" s="50">
        <v>0.67796610169491522</v>
      </c>
      <c r="T14" s="50">
        <v>0</v>
      </c>
      <c r="U14" s="51">
        <v>0.125</v>
      </c>
      <c r="W14" s="44" t="s">
        <v>207</v>
      </c>
      <c r="X14" s="49">
        <v>0.76744186046511631</v>
      </c>
      <c r="Y14" s="50">
        <v>0.51219512195121952</v>
      </c>
      <c r="Z14" s="50">
        <v>0.63829787234042556</v>
      </c>
      <c r="AA14" s="50">
        <v>0</v>
      </c>
      <c r="AB14" s="51">
        <v>0.15789473684210525</v>
      </c>
    </row>
    <row r="15" spans="1:28">
      <c r="A15" s="104" t="s">
        <v>208</v>
      </c>
      <c r="B15" s="103">
        <f t="shared" si="4"/>
        <v>0</v>
      </c>
      <c r="C15" s="103">
        <f t="shared" si="4"/>
        <v>0</v>
      </c>
      <c r="D15" s="103">
        <f t="shared" si="4"/>
        <v>0.23529411764705882</v>
      </c>
      <c r="E15" s="103">
        <f t="shared" si="4"/>
        <v>0.96</v>
      </c>
      <c r="F15" s="103">
        <f t="shared" si="4"/>
        <v>0.23529411764705882</v>
      </c>
      <c r="G15" s="103"/>
      <c r="H15" s="103"/>
      <c r="I15" s="153" t="s">
        <v>208</v>
      </c>
      <c r="J15" s="103">
        <f t="shared" si="3"/>
        <v>-1</v>
      </c>
      <c r="K15" s="103">
        <f t="shared" si="3"/>
        <v>-1</v>
      </c>
      <c r="L15" s="103">
        <f t="shared" si="3"/>
        <v>-0.52941176470588236</v>
      </c>
      <c r="M15" s="103">
        <f t="shared" si="3"/>
        <v>0.91999999999999993</v>
      </c>
      <c r="N15" s="103">
        <f t="shared" si="3"/>
        <v>-0.52941176470588236</v>
      </c>
      <c r="P15" s="174" t="s">
        <v>208</v>
      </c>
      <c r="Q15" s="124">
        <v>0</v>
      </c>
      <c r="R15" s="50">
        <v>0</v>
      </c>
      <c r="S15" s="50">
        <v>0.23529411764705882</v>
      </c>
      <c r="T15" s="50">
        <v>0.96</v>
      </c>
      <c r="U15" s="51">
        <v>0.23529411764705882</v>
      </c>
      <c r="W15" s="44" t="s">
        <v>208</v>
      </c>
      <c r="X15" s="49">
        <v>0</v>
      </c>
      <c r="Y15" s="50">
        <v>0</v>
      </c>
      <c r="Z15" s="50">
        <v>0.10344827586206896</v>
      </c>
      <c r="AA15" s="50">
        <v>0.78260869565217395</v>
      </c>
      <c r="AB15" s="51">
        <v>0.15789473684210525</v>
      </c>
    </row>
    <row r="16" spans="1:28">
      <c r="A16" s="104" t="s">
        <v>209</v>
      </c>
      <c r="B16" s="103">
        <f t="shared" si="4"/>
        <v>0</v>
      </c>
      <c r="C16" s="103">
        <f t="shared" si="4"/>
        <v>0.33333333333333331</v>
      </c>
      <c r="D16" s="103">
        <f t="shared" si="4"/>
        <v>0.53333333333333333</v>
      </c>
      <c r="E16" s="103">
        <f t="shared" si="4"/>
        <v>0.66666666666666663</v>
      </c>
      <c r="F16" s="103">
        <f xml:space="preserve"> ($H7-1)*F7 /(($H7-2)*F7+$G7)</f>
        <v>0.66666666666666663</v>
      </c>
      <c r="G16" s="103"/>
      <c r="H16" s="103"/>
      <c r="I16" s="153" t="s">
        <v>209</v>
      </c>
      <c r="J16" s="103">
        <f t="shared" si="3"/>
        <v>-1</v>
      </c>
      <c r="K16" s="103">
        <f t="shared" si="3"/>
        <v>-0.33333333333333337</v>
      </c>
      <c r="L16" s="103">
        <f t="shared" si="3"/>
        <v>6.6666666666666652E-2</v>
      </c>
      <c r="M16" s="103">
        <f t="shared" si="3"/>
        <v>0.33333333333333326</v>
      </c>
      <c r="N16" s="103">
        <f t="shared" si="3"/>
        <v>0.33333333333333326</v>
      </c>
      <c r="P16" s="175" t="s">
        <v>209</v>
      </c>
      <c r="Q16" s="132">
        <v>0</v>
      </c>
      <c r="R16" s="53">
        <v>0.33333333333333331</v>
      </c>
      <c r="S16" s="53">
        <v>0.53333333333333333</v>
      </c>
      <c r="T16" s="53">
        <v>0.66666666666666663</v>
      </c>
      <c r="U16" s="54">
        <v>0.66666666666666663</v>
      </c>
      <c r="W16" s="45" t="s">
        <v>209</v>
      </c>
      <c r="X16" s="52">
        <v>0</v>
      </c>
      <c r="Y16" s="53">
        <v>0.10344827586206896</v>
      </c>
      <c r="Z16" s="53">
        <v>0.19354838709677419</v>
      </c>
      <c r="AA16" s="53">
        <v>0.32142857142857145</v>
      </c>
      <c r="AB16" s="54">
        <v>0.39130434782608697</v>
      </c>
    </row>
    <row r="17" spans="1:28">
      <c r="A17" s="104"/>
      <c r="B17" s="103"/>
      <c r="C17" s="103"/>
      <c r="D17" s="103"/>
      <c r="E17" s="103"/>
      <c r="F17" s="103"/>
      <c r="G17" s="103"/>
      <c r="H17" s="103"/>
      <c r="I17" s="153"/>
      <c r="J17" s="103"/>
      <c r="K17" s="103"/>
      <c r="L17" s="103"/>
      <c r="M17" s="103"/>
      <c r="N17" s="103"/>
    </row>
    <row r="18" spans="1:28" s="34" customFormat="1">
      <c r="A18" s="148" t="s">
        <v>263</v>
      </c>
      <c r="B18" s="153" t="s">
        <v>268</v>
      </c>
      <c r="C18" s="153" t="s">
        <v>269</v>
      </c>
      <c r="D18" s="153" t="s">
        <v>270</v>
      </c>
      <c r="E18" s="153" t="s">
        <v>271</v>
      </c>
      <c r="F18" s="153" t="s">
        <v>272</v>
      </c>
      <c r="G18" s="153"/>
      <c r="H18" s="153"/>
      <c r="I18" s="153" t="s">
        <v>264</v>
      </c>
      <c r="J18" s="153" t="s">
        <v>268</v>
      </c>
      <c r="K18" s="153" t="s">
        <v>269</v>
      </c>
      <c r="L18" s="153" t="s">
        <v>270</v>
      </c>
      <c r="M18" s="153" t="s">
        <v>271</v>
      </c>
      <c r="N18" s="153" t="s">
        <v>272</v>
      </c>
      <c r="O18" s="141"/>
      <c r="P18" s="224" t="s">
        <v>534</v>
      </c>
      <c r="Q18" s="225" t="s">
        <v>268</v>
      </c>
      <c r="R18" s="225" t="s">
        <v>269</v>
      </c>
      <c r="S18" s="225" t="s">
        <v>270</v>
      </c>
      <c r="T18" s="225" t="s">
        <v>271</v>
      </c>
      <c r="U18" s="226" t="s">
        <v>272</v>
      </c>
      <c r="V18" s="227"/>
      <c r="W18" s="224" t="s">
        <v>535</v>
      </c>
      <c r="X18" s="225" t="s">
        <v>268</v>
      </c>
      <c r="Y18" s="225" t="s">
        <v>269</v>
      </c>
      <c r="Z18" s="225" t="s">
        <v>270</v>
      </c>
      <c r="AA18" s="225" t="s">
        <v>271</v>
      </c>
      <c r="AB18" s="226" t="s">
        <v>272</v>
      </c>
    </row>
    <row r="19" spans="1:28">
      <c r="A19" s="104" t="s">
        <v>206</v>
      </c>
      <c r="B19" s="103">
        <f t="shared" ref="B19:F22" si="5" xml:space="preserve"> (B$9-1)*B4/((B$9-2)*B4+B$8)</f>
        <v>0.73170731707317072</v>
      </c>
      <c r="C19" s="103">
        <f t="shared" si="5"/>
        <v>0.87692307692307692</v>
      </c>
      <c r="D19" s="103">
        <f t="shared" si="5"/>
        <v>0.76363636363636367</v>
      </c>
      <c r="E19" s="103">
        <f t="shared" si="5"/>
        <v>0.58333333333333337</v>
      </c>
      <c r="F19" s="103">
        <f t="shared" si="5"/>
        <v>0.87804878048780488</v>
      </c>
      <c r="G19" s="103"/>
      <c r="H19" s="103"/>
      <c r="I19" s="153" t="s">
        <v>206</v>
      </c>
      <c r="J19" s="103">
        <f t="shared" ref="J19:N22" si="6">B19*2-1</f>
        <v>0.46341463414634143</v>
      </c>
      <c r="K19" s="103">
        <f t="shared" si="6"/>
        <v>0.75384615384615383</v>
      </c>
      <c r="L19" s="103">
        <f t="shared" si="6"/>
        <v>0.52727272727272734</v>
      </c>
      <c r="M19" s="103">
        <f t="shared" si="6"/>
        <v>0.16666666666666674</v>
      </c>
      <c r="N19" s="103">
        <f t="shared" si="6"/>
        <v>0.75609756097560976</v>
      </c>
      <c r="P19" s="228" t="s">
        <v>206</v>
      </c>
      <c r="Q19" s="46">
        <v>0.52631578947368418</v>
      </c>
      <c r="R19" s="47">
        <v>0.72282608695652173</v>
      </c>
      <c r="S19" s="47">
        <v>0.61635220125786161</v>
      </c>
      <c r="T19" s="47">
        <v>0.41176470588235292</v>
      </c>
      <c r="U19" s="48">
        <v>0.60431654676258995</v>
      </c>
      <c r="V19" s="229"/>
      <c r="W19" s="228" t="s">
        <v>206</v>
      </c>
      <c r="X19" s="46">
        <v>0.6462585034013606</v>
      </c>
      <c r="Y19" s="47">
        <v>0.79166666666666663</v>
      </c>
      <c r="Z19" s="47">
        <v>0.72677595628415304</v>
      </c>
      <c r="AA19" s="47">
        <v>0.5541666666666667</v>
      </c>
      <c r="AB19" s="48">
        <v>0.69090909090909092</v>
      </c>
    </row>
    <row r="20" spans="1:28">
      <c r="A20" s="104" t="s">
        <v>207</v>
      </c>
      <c r="B20" s="103">
        <f t="shared" si="5"/>
        <v>0.76744186046511631</v>
      </c>
      <c r="C20" s="103">
        <f t="shared" si="5"/>
        <v>0.51219512195121952</v>
      </c>
      <c r="D20" s="103">
        <f t="shared" si="5"/>
        <v>0.63829787234042556</v>
      </c>
      <c r="E20" s="103">
        <f t="shared" si="5"/>
        <v>0</v>
      </c>
      <c r="F20" s="103">
        <f t="shared" si="5"/>
        <v>0.15789473684210525</v>
      </c>
      <c r="G20" s="103"/>
      <c r="H20" s="103"/>
      <c r="I20" s="153" t="s">
        <v>207</v>
      </c>
      <c r="J20" s="103">
        <f t="shared" si="6"/>
        <v>0.53488372093023262</v>
      </c>
      <c r="K20" s="103">
        <f t="shared" si="6"/>
        <v>2.4390243902439046E-2</v>
      </c>
      <c r="L20" s="103">
        <f t="shared" si="6"/>
        <v>0.27659574468085113</v>
      </c>
      <c r="M20" s="103">
        <f t="shared" si="6"/>
        <v>-1</v>
      </c>
      <c r="N20" s="103">
        <f t="shared" si="6"/>
        <v>-0.68421052631578949</v>
      </c>
      <c r="P20" s="228" t="s">
        <v>207</v>
      </c>
      <c r="Q20" s="49">
        <v>0.73333333333333328</v>
      </c>
      <c r="R20" s="50">
        <v>0.53846153846153844</v>
      </c>
      <c r="S20" s="50">
        <v>0.660377358490566</v>
      </c>
      <c r="T20" s="50">
        <v>0</v>
      </c>
      <c r="U20" s="51">
        <v>0.13725490196078433</v>
      </c>
      <c r="V20" s="229"/>
      <c r="W20" s="228" t="s">
        <v>207</v>
      </c>
      <c r="X20" s="49">
        <v>0.66987179487179482</v>
      </c>
      <c r="Y20" s="50">
        <v>0.5541666666666667</v>
      </c>
      <c r="Z20" s="50">
        <v>0.6462585034013606</v>
      </c>
      <c r="AA20" s="50">
        <v>0</v>
      </c>
      <c r="AB20" s="51">
        <v>0.14393939393939395</v>
      </c>
    </row>
    <row r="21" spans="1:28">
      <c r="A21" s="104" t="s">
        <v>208</v>
      </c>
      <c r="B21" s="103">
        <f t="shared" si="5"/>
        <v>0</v>
      </c>
      <c r="C21" s="103">
        <f t="shared" si="5"/>
        <v>0</v>
      </c>
      <c r="D21" s="103">
        <f t="shared" si="5"/>
        <v>0.10344827586206896</v>
      </c>
      <c r="E21" s="103">
        <f t="shared" si="5"/>
        <v>0.78260869565217395</v>
      </c>
      <c r="F21" s="103">
        <f t="shared" si="5"/>
        <v>0.15789473684210525</v>
      </c>
      <c r="G21" s="103"/>
      <c r="H21" s="103"/>
      <c r="I21" s="153" t="s">
        <v>208</v>
      </c>
      <c r="J21" s="103">
        <f t="shared" si="6"/>
        <v>-1</v>
      </c>
      <c r="K21" s="103">
        <f t="shared" si="6"/>
        <v>-1</v>
      </c>
      <c r="L21" s="103">
        <f t="shared" si="6"/>
        <v>-0.7931034482758621</v>
      </c>
      <c r="M21" s="103">
        <f t="shared" si="6"/>
        <v>0.56521739130434789</v>
      </c>
      <c r="N21" s="103">
        <f t="shared" si="6"/>
        <v>-0.68421052631578949</v>
      </c>
      <c r="P21" s="228" t="s">
        <v>208</v>
      </c>
      <c r="Q21" s="49">
        <v>0</v>
      </c>
      <c r="R21" s="50">
        <v>0</v>
      </c>
      <c r="S21" s="50">
        <v>0.15217391304347827</v>
      </c>
      <c r="T21" s="50">
        <v>0.875</v>
      </c>
      <c r="U21" s="51">
        <v>0.19444444444444445</v>
      </c>
      <c r="V21" s="229"/>
      <c r="W21" s="228" t="s">
        <v>208</v>
      </c>
      <c r="X21" s="49">
        <v>0</v>
      </c>
      <c r="Y21" s="50">
        <v>0</v>
      </c>
      <c r="Z21" s="50">
        <v>0.14393939393939395</v>
      </c>
      <c r="AA21" s="50">
        <v>0.69090909090909092</v>
      </c>
      <c r="AB21" s="51">
        <v>0.14393939393939395</v>
      </c>
    </row>
    <row r="22" spans="1:28">
      <c r="A22" s="104" t="s">
        <v>209</v>
      </c>
      <c r="B22" s="103">
        <f t="shared" si="5"/>
        <v>0</v>
      </c>
      <c r="C22" s="103">
        <f t="shared" si="5"/>
        <v>0.10344827586206896</v>
      </c>
      <c r="D22" s="103">
        <f t="shared" si="5"/>
        <v>0.19354838709677419</v>
      </c>
      <c r="E22" s="103">
        <f t="shared" si="5"/>
        <v>0.32142857142857145</v>
      </c>
      <c r="F22" s="103">
        <f t="shared" si="5"/>
        <v>0.39130434782608697</v>
      </c>
      <c r="G22" s="103"/>
      <c r="H22" s="103"/>
      <c r="I22" s="153" t="s">
        <v>209</v>
      </c>
      <c r="J22" s="103">
        <f t="shared" si="6"/>
        <v>-1</v>
      </c>
      <c r="K22" s="103">
        <f t="shared" si="6"/>
        <v>-0.7931034482758621</v>
      </c>
      <c r="L22" s="103">
        <f t="shared" si="6"/>
        <v>-0.61290322580645162</v>
      </c>
      <c r="M22" s="103">
        <f t="shared" si="6"/>
        <v>-0.3571428571428571</v>
      </c>
      <c r="N22" s="103">
        <f t="shared" si="6"/>
        <v>-0.21739130434782605</v>
      </c>
      <c r="P22" s="230" t="s">
        <v>209</v>
      </c>
      <c r="Q22" s="52">
        <v>0</v>
      </c>
      <c r="R22" s="53">
        <v>0.17073170731707318</v>
      </c>
      <c r="S22" s="53">
        <v>0.30434782608695654</v>
      </c>
      <c r="T22" s="53">
        <v>0.45652173913043476</v>
      </c>
      <c r="U22" s="54">
        <v>0.51219512195121952</v>
      </c>
      <c r="V22" s="229"/>
      <c r="W22" s="230" t="s">
        <v>209</v>
      </c>
      <c r="X22" s="52">
        <v>0</v>
      </c>
      <c r="Y22" s="53">
        <v>0.14393939393939395</v>
      </c>
      <c r="Z22" s="53">
        <v>0.25333333333333335</v>
      </c>
      <c r="AA22" s="53">
        <v>0.3392857142857143</v>
      </c>
      <c r="AB22" s="54">
        <v>0.3392857142857143</v>
      </c>
    </row>
    <row r="23" spans="1:28">
      <c r="A23" s="104"/>
      <c r="B23" s="103"/>
      <c r="C23" s="103"/>
      <c r="D23" s="103"/>
      <c r="E23" s="103"/>
      <c r="F23" s="103"/>
      <c r="G23" s="103"/>
      <c r="H23" s="103"/>
      <c r="I23" s="153"/>
      <c r="J23" s="103"/>
      <c r="K23" s="103"/>
      <c r="L23" s="103"/>
      <c r="M23" s="103"/>
      <c r="N23" s="103"/>
    </row>
    <row r="24" spans="1:28" s="34" customFormat="1" ht="15" customHeight="1">
      <c r="A24" s="148" t="s">
        <v>249</v>
      </c>
      <c r="B24" s="153" t="s">
        <v>268</v>
      </c>
      <c r="C24" s="153" t="s">
        <v>269</v>
      </c>
      <c r="D24" s="153" t="s">
        <v>270</v>
      </c>
      <c r="E24" s="153" t="s">
        <v>271</v>
      </c>
      <c r="F24" s="153" t="s">
        <v>272</v>
      </c>
      <c r="G24" s="153"/>
      <c r="H24" s="153"/>
      <c r="I24" s="153" t="s">
        <v>250</v>
      </c>
      <c r="J24" s="153" t="s">
        <v>268</v>
      </c>
      <c r="K24" s="153" t="s">
        <v>269</v>
      </c>
      <c r="L24" s="153" t="s">
        <v>270</v>
      </c>
      <c r="M24" s="153" t="s">
        <v>271</v>
      </c>
      <c r="N24" s="153" t="s">
        <v>272</v>
      </c>
      <c r="O24" s="141"/>
      <c r="P24" s="141"/>
      <c r="Q24" s="141"/>
    </row>
    <row r="25" spans="1:28">
      <c r="A25" s="104" t="s">
        <v>206</v>
      </c>
      <c r="B25" s="103">
        <f t="shared" ref="B25:F28" si="7">($H4+B$9-2)*B4/(($H4+B$9-4)*B4+$G4+B$8)</f>
        <v>0.52631578947368418</v>
      </c>
      <c r="C25" s="103">
        <f t="shared" si="7"/>
        <v>0.72282608695652173</v>
      </c>
      <c r="D25" s="103">
        <f t="shared" si="7"/>
        <v>0.61635220125786161</v>
      </c>
      <c r="E25" s="103">
        <f t="shared" si="7"/>
        <v>0.41176470588235292</v>
      </c>
      <c r="F25" s="103">
        <f t="shared" si="7"/>
        <v>0.60431654676258995</v>
      </c>
      <c r="G25" s="103"/>
      <c r="H25" s="103"/>
      <c r="I25" s="153" t="s">
        <v>206</v>
      </c>
      <c r="J25" s="103">
        <f t="shared" ref="J25:N28" si="8">B25*2-1</f>
        <v>5.2631578947368363E-2</v>
      </c>
      <c r="K25" s="103">
        <f t="shared" si="8"/>
        <v>0.44565217391304346</v>
      </c>
      <c r="L25" s="103">
        <f t="shared" si="8"/>
        <v>0.23270440251572322</v>
      </c>
      <c r="M25" s="103">
        <f t="shared" si="8"/>
        <v>-0.17647058823529416</v>
      </c>
      <c r="N25" s="103">
        <f t="shared" si="8"/>
        <v>0.20863309352517989</v>
      </c>
    </row>
    <row r="26" spans="1:28">
      <c r="A26" s="104" t="s">
        <v>207</v>
      </c>
      <c r="B26" s="103">
        <f t="shared" si="7"/>
        <v>0.73333333333333328</v>
      </c>
      <c r="C26" s="103">
        <f t="shared" si="7"/>
        <v>0.53846153846153844</v>
      </c>
      <c r="D26" s="103">
        <f t="shared" si="7"/>
        <v>0.660377358490566</v>
      </c>
      <c r="E26" s="103">
        <f t="shared" si="7"/>
        <v>0</v>
      </c>
      <c r="F26" s="103">
        <f t="shared" si="7"/>
        <v>0.13725490196078433</v>
      </c>
      <c r="G26" s="103"/>
      <c r="H26" s="103"/>
      <c r="I26" s="153" t="s">
        <v>207</v>
      </c>
      <c r="J26" s="103">
        <f t="shared" si="8"/>
        <v>0.46666666666666656</v>
      </c>
      <c r="K26" s="103">
        <f t="shared" si="8"/>
        <v>7.6923076923076872E-2</v>
      </c>
      <c r="L26" s="103">
        <f t="shared" si="8"/>
        <v>0.320754716981132</v>
      </c>
      <c r="M26" s="103">
        <f t="shared" si="8"/>
        <v>-1</v>
      </c>
      <c r="N26" s="103">
        <f t="shared" si="8"/>
        <v>-0.72549019607843135</v>
      </c>
    </row>
    <row r="27" spans="1:28">
      <c r="A27" s="104" t="s">
        <v>208</v>
      </c>
      <c r="B27" s="103">
        <f t="shared" si="7"/>
        <v>0</v>
      </c>
      <c r="C27" s="103">
        <f t="shared" si="7"/>
        <v>0</v>
      </c>
      <c r="D27" s="103">
        <f t="shared" si="7"/>
        <v>0.15217391304347827</v>
      </c>
      <c r="E27" s="103">
        <f t="shared" si="7"/>
        <v>0.875</v>
      </c>
      <c r="F27" s="103">
        <f t="shared" si="7"/>
        <v>0.19444444444444445</v>
      </c>
      <c r="G27" s="103"/>
      <c r="H27" s="103"/>
      <c r="I27" s="153" t="s">
        <v>208</v>
      </c>
      <c r="J27" s="103">
        <f t="shared" si="8"/>
        <v>-1</v>
      </c>
      <c r="K27" s="103">
        <f t="shared" si="8"/>
        <v>-1</v>
      </c>
      <c r="L27" s="103">
        <f t="shared" si="8"/>
        <v>-0.69565217391304346</v>
      </c>
      <c r="M27" s="103">
        <f t="shared" si="8"/>
        <v>0.75</v>
      </c>
      <c r="N27" s="103">
        <f t="shared" si="8"/>
        <v>-0.61111111111111116</v>
      </c>
    </row>
    <row r="28" spans="1:28">
      <c r="A28" s="104" t="s">
        <v>209</v>
      </c>
      <c r="B28" s="103">
        <f t="shared" si="7"/>
        <v>0</v>
      </c>
      <c r="C28" s="103">
        <f t="shared" si="7"/>
        <v>0.17073170731707318</v>
      </c>
      <c r="D28" s="103">
        <f t="shared" si="7"/>
        <v>0.30434782608695654</v>
      </c>
      <c r="E28" s="103">
        <f t="shared" si="7"/>
        <v>0.45652173913043476</v>
      </c>
      <c r="F28" s="103">
        <f t="shared" si="7"/>
        <v>0.51219512195121952</v>
      </c>
      <c r="G28" s="103"/>
      <c r="H28" s="103"/>
      <c r="I28" s="153" t="s">
        <v>209</v>
      </c>
      <c r="J28" s="103">
        <f t="shared" si="8"/>
        <v>-1</v>
      </c>
      <c r="K28" s="103">
        <f t="shared" si="8"/>
        <v>-0.65853658536585358</v>
      </c>
      <c r="L28" s="103">
        <f t="shared" si="8"/>
        <v>-0.39130434782608692</v>
      </c>
      <c r="M28" s="103">
        <f t="shared" si="8"/>
        <v>-8.6956521739130488E-2</v>
      </c>
      <c r="N28" s="103">
        <f t="shared" si="8"/>
        <v>2.4390243902439046E-2</v>
      </c>
    </row>
    <row r="29" spans="1:28">
      <c r="A29" s="104"/>
      <c r="B29" s="103"/>
      <c r="C29" s="103"/>
      <c r="D29" s="103"/>
      <c r="E29" s="103"/>
      <c r="F29" s="103"/>
      <c r="G29" s="103"/>
      <c r="H29" s="103"/>
      <c r="I29" s="153"/>
      <c r="J29" s="103"/>
      <c r="K29" s="103"/>
      <c r="L29" s="103"/>
      <c r="M29" s="103"/>
      <c r="N29" s="103"/>
    </row>
    <row r="30" spans="1:28" s="34" customFormat="1">
      <c r="A30" s="148" t="s">
        <v>241</v>
      </c>
      <c r="B30" s="153" t="s">
        <v>268</v>
      </c>
      <c r="C30" s="153" t="s">
        <v>269</v>
      </c>
      <c r="D30" s="153" t="s">
        <v>270</v>
      </c>
      <c r="E30" s="153" t="s">
        <v>271</v>
      </c>
      <c r="F30" s="153" t="s">
        <v>272</v>
      </c>
      <c r="G30" s="153"/>
      <c r="H30" s="153"/>
      <c r="I30" s="153" t="s">
        <v>242</v>
      </c>
      <c r="J30" s="153" t="s">
        <v>268</v>
      </c>
      <c r="K30" s="153" t="s">
        <v>269</v>
      </c>
      <c r="L30" s="153" t="s">
        <v>270</v>
      </c>
      <c r="M30" s="153" t="s">
        <v>271</v>
      </c>
      <c r="N30" s="153" t="s">
        <v>272</v>
      </c>
      <c r="O30" s="141"/>
      <c r="P30" s="141"/>
      <c r="Q30" s="141"/>
    </row>
    <row r="31" spans="1:28">
      <c r="A31" s="104" t="s">
        <v>206</v>
      </c>
      <c r="B31" s="103">
        <f t="shared" ref="B31:F34" si="9" xml:space="preserve"> ($H$9-1)*B4/(($H$9-2)*B4+$G$8)</f>
        <v>0.6462585034013606</v>
      </c>
      <c r="C31" s="103">
        <f t="shared" si="9"/>
        <v>0.79166666666666663</v>
      </c>
      <c r="D31" s="103">
        <f t="shared" si="9"/>
        <v>0.72677595628415304</v>
      </c>
      <c r="E31" s="103">
        <f t="shared" si="9"/>
        <v>0.5541666666666667</v>
      </c>
      <c r="F31" s="103">
        <f t="shared" si="9"/>
        <v>0.69090909090909092</v>
      </c>
      <c r="G31" s="103"/>
      <c r="H31" s="103"/>
      <c r="I31" s="153" t="s">
        <v>206</v>
      </c>
      <c r="J31" s="103">
        <f t="shared" ref="J31:N34" si="10">B31*2-1</f>
        <v>0.29251700680272119</v>
      </c>
      <c r="K31" s="103">
        <f t="shared" si="10"/>
        <v>0.58333333333333326</v>
      </c>
      <c r="L31" s="103">
        <f t="shared" si="10"/>
        <v>0.45355191256830607</v>
      </c>
      <c r="M31" s="103">
        <f t="shared" si="10"/>
        <v>0.10833333333333339</v>
      </c>
      <c r="N31" s="103">
        <f t="shared" si="10"/>
        <v>0.38181818181818183</v>
      </c>
    </row>
    <row r="32" spans="1:28">
      <c r="A32" s="104" t="s">
        <v>207</v>
      </c>
      <c r="B32" s="103">
        <f t="shared" si="9"/>
        <v>0.66987179487179482</v>
      </c>
      <c r="C32" s="103">
        <f t="shared" si="9"/>
        <v>0.5541666666666667</v>
      </c>
      <c r="D32" s="103">
        <f t="shared" si="9"/>
        <v>0.6462585034013606</v>
      </c>
      <c r="E32" s="103">
        <f t="shared" si="9"/>
        <v>0</v>
      </c>
      <c r="F32" s="103">
        <f t="shared" si="9"/>
        <v>0.14393939393939395</v>
      </c>
      <c r="G32" s="103"/>
      <c r="H32" s="103"/>
      <c r="I32" s="153" t="s">
        <v>207</v>
      </c>
      <c r="J32" s="103">
        <f t="shared" si="10"/>
        <v>0.33974358974358965</v>
      </c>
      <c r="K32" s="103">
        <f t="shared" si="10"/>
        <v>0.10833333333333339</v>
      </c>
      <c r="L32" s="103">
        <f t="shared" si="10"/>
        <v>0.29251700680272119</v>
      </c>
      <c r="M32" s="103">
        <f t="shared" si="10"/>
        <v>-1</v>
      </c>
      <c r="N32" s="103">
        <f t="shared" si="10"/>
        <v>-0.71212121212121215</v>
      </c>
    </row>
    <row r="33" spans="1:14">
      <c r="A33" s="104" t="s">
        <v>208</v>
      </c>
      <c r="B33" s="103">
        <f t="shared" si="9"/>
        <v>0</v>
      </c>
      <c r="C33" s="103">
        <f t="shared" si="9"/>
        <v>0</v>
      </c>
      <c r="D33" s="103">
        <f t="shared" si="9"/>
        <v>0.14393939393939395</v>
      </c>
      <c r="E33" s="103">
        <f t="shared" si="9"/>
        <v>0.69090909090909092</v>
      </c>
      <c r="F33" s="103">
        <f t="shared" si="9"/>
        <v>0.14393939393939395</v>
      </c>
      <c r="G33" s="103"/>
      <c r="H33" s="103"/>
      <c r="I33" s="153" t="s">
        <v>208</v>
      </c>
      <c r="J33" s="103">
        <f t="shared" si="10"/>
        <v>-1</v>
      </c>
      <c r="K33" s="103">
        <f t="shared" si="10"/>
        <v>-1</v>
      </c>
      <c r="L33" s="103">
        <f t="shared" si="10"/>
        <v>-0.71212121212121215</v>
      </c>
      <c r="M33" s="103">
        <f t="shared" si="10"/>
        <v>0.38181818181818183</v>
      </c>
      <c r="N33" s="103">
        <f t="shared" si="10"/>
        <v>-0.71212121212121215</v>
      </c>
    </row>
    <row r="34" spans="1:14">
      <c r="A34" s="104" t="s">
        <v>209</v>
      </c>
      <c r="B34" s="103">
        <f t="shared" si="9"/>
        <v>0</v>
      </c>
      <c r="C34" s="103">
        <f t="shared" si="9"/>
        <v>0.14393939393939395</v>
      </c>
      <c r="D34" s="103">
        <f t="shared" si="9"/>
        <v>0.25333333333333335</v>
      </c>
      <c r="E34" s="103">
        <f t="shared" si="9"/>
        <v>0.3392857142857143</v>
      </c>
      <c r="F34" s="103">
        <f t="shared" si="9"/>
        <v>0.3392857142857143</v>
      </c>
      <c r="G34" s="103"/>
      <c r="H34" s="103"/>
      <c r="I34" s="153" t="s">
        <v>209</v>
      </c>
      <c r="J34" s="103">
        <f t="shared" si="10"/>
        <v>-1</v>
      </c>
      <c r="K34" s="103">
        <f t="shared" si="10"/>
        <v>-0.71212121212121215</v>
      </c>
      <c r="L34" s="103">
        <f t="shared" si="10"/>
        <v>-0.49333333333333329</v>
      </c>
      <c r="M34" s="103">
        <f t="shared" si="10"/>
        <v>-0.3214285714285714</v>
      </c>
      <c r="N34" s="103">
        <f t="shared" si="10"/>
        <v>-0.3214285714285714</v>
      </c>
    </row>
    <row r="35" spans="1:14">
      <c r="A35" s="104"/>
      <c r="B35" s="103"/>
      <c r="C35" s="103"/>
      <c r="D35" s="103"/>
      <c r="E35" s="103"/>
      <c r="F35" s="103"/>
      <c r="G35" s="103"/>
      <c r="H35" s="103"/>
      <c r="I35" s="153"/>
      <c r="J35" s="103"/>
      <c r="K35" s="103"/>
      <c r="L35" s="103"/>
      <c r="M35" s="103"/>
      <c r="N35" s="103"/>
    </row>
    <row r="36" spans="1:14">
      <c r="A36" s="171" t="s">
        <v>342</v>
      </c>
      <c r="B36" s="172" t="s">
        <v>268</v>
      </c>
      <c r="C36" s="172" t="s">
        <v>269</v>
      </c>
      <c r="D36" s="172" t="s">
        <v>270</v>
      </c>
      <c r="E36" s="172" t="s">
        <v>271</v>
      </c>
      <c r="F36" s="173" t="s">
        <v>272</v>
      </c>
    </row>
    <row r="37" spans="1:14">
      <c r="A37" s="174" t="s">
        <v>206</v>
      </c>
      <c r="B37" s="119">
        <v>0.6462585034013606</v>
      </c>
      <c r="C37" s="120">
        <v>0.79166666666666663</v>
      </c>
      <c r="D37" s="120">
        <v>0.72677595628415304</v>
      </c>
      <c r="E37" s="120">
        <v>0.5541666666666667</v>
      </c>
      <c r="F37" s="121">
        <v>0.69090909090909092</v>
      </c>
    </row>
    <row r="38" spans="1:14">
      <c r="A38" s="174" t="s">
        <v>207</v>
      </c>
      <c r="B38" s="124">
        <v>0.66987179487179482</v>
      </c>
      <c r="C38" s="125">
        <v>0.5541666666666667</v>
      </c>
      <c r="D38" s="125">
        <v>0.6462585034013606</v>
      </c>
      <c r="E38" s="125">
        <v>0</v>
      </c>
      <c r="F38" s="126">
        <v>0.14393939393939395</v>
      </c>
    </row>
    <row r="39" spans="1:14">
      <c r="A39" s="174" t="s">
        <v>208</v>
      </c>
      <c r="B39" s="124">
        <v>0</v>
      </c>
      <c r="C39" s="125">
        <v>0</v>
      </c>
      <c r="D39" s="125">
        <v>0.14393939393939395</v>
      </c>
      <c r="E39" s="125">
        <v>0.69090909090909092</v>
      </c>
      <c r="F39" s="126">
        <v>0.14393939393939395</v>
      </c>
    </row>
    <row r="40" spans="1:14">
      <c r="A40" s="175" t="s">
        <v>209</v>
      </c>
      <c r="B40" s="132">
        <v>0</v>
      </c>
      <c r="C40" s="133">
        <v>0.14393939393939395</v>
      </c>
      <c r="D40" s="133">
        <v>0.25333333333333335</v>
      </c>
      <c r="E40" s="133">
        <v>0.3392857142857143</v>
      </c>
      <c r="F40" s="134">
        <v>0.3392857142857143</v>
      </c>
    </row>
    <row r="50" spans="8:8">
      <c r="H50" s="141"/>
    </row>
  </sheetData>
  <phoneticPr fontId="2"/>
  <conditionalFormatting sqref="B1:F2">
    <cfRule type="dataBar" priority="6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{0EE6C54E-3180-4D2A-A923-CD3C09E33E23}</x14:id>
        </ext>
      </extLst>
    </cfRule>
  </conditionalFormatting>
  <conditionalFormatting sqref="B1:F2">
    <cfRule type="dataBar" priority="7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{F0C250EE-CE56-46AE-B838-C5F838A69DC1}</x14:id>
        </ext>
      </extLst>
    </cfRule>
  </conditionalFormatting>
  <conditionalFormatting sqref="B1:F2">
    <cfRule type="dataBar" priority="7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{0B371979-3341-4260-BA79-08EF1BCAED74}</x14:id>
        </ext>
      </extLst>
    </cfRule>
  </conditionalFormatting>
  <conditionalFormatting sqref="I4:N9 B10:N35">
    <cfRule type="dataBar" priority="207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{382C3FDE-57C2-423F-B80F-C889D89A962D}</x14:id>
        </ext>
      </extLst>
    </cfRule>
  </conditionalFormatting>
  <conditionalFormatting sqref="I4:N9 B10:N35">
    <cfRule type="dataBar" priority="208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{7D34F670-090A-44B8-88EE-51B091918325}</x14:id>
        </ext>
      </extLst>
    </cfRule>
  </conditionalFormatting>
  <conditionalFormatting sqref="B4:F7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{53E74711-1A1A-4CBD-989E-22855DB62E39}</x14:id>
        </ext>
      </extLst>
    </cfRule>
  </conditionalFormatting>
  <conditionalFormatting sqref="B4:F7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{A7837C7C-4F0C-473E-9D3F-7569F8FA6ED2}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E6C54E-3180-4D2A-A923-CD3C09E33E2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F0C250EE-CE56-46AE-B838-C5F838A69DC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0B371979-3341-4260-BA79-08EF1BCAE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382C3FDE-57C2-423F-B80F-C889D89A962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I4:N9 B10:N35</xm:sqref>
        </x14:conditionalFormatting>
        <x14:conditionalFormatting xmlns:xm="http://schemas.microsoft.com/office/excel/2006/main">
          <x14:cfRule type="dataBar" id="{7D34F670-090A-44B8-88EE-51B0919183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I4:N9 B10:N35</xm:sqref>
        </x14:conditionalFormatting>
        <x14:conditionalFormatting xmlns:xm="http://schemas.microsoft.com/office/excel/2006/main">
          <x14:cfRule type="dataBar" id="{53E74711-1A1A-4CBD-989E-22855DB62E3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A7837C7C-4F0C-473E-9D3F-7569F8FA6E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38"/>
  <sheetViews>
    <sheetView workbookViewId="0">
      <selection activeCell="A3" sqref="A3:F7"/>
    </sheetView>
  </sheetViews>
  <sheetFormatPr defaultRowHeight="15.75"/>
  <cols>
    <col min="1" max="1" width="10.25" style="141" bestFit="1" customWidth="1"/>
    <col min="2" max="2" width="6.5" style="83" bestFit="1" customWidth="1"/>
    <col min="3" max="4" width="5.5" style="83" bestFit="1" customWidth="1"/>
    <col min="5" max="5" width="6.5" style="83" bestFit="1" customWidth="1"/>
    <col min="6" max="6" width="5.5" style="83" bestFit="1" customWidth="1"/>
    <col min="7" max="7" width="8.125" style="83" bestFit="1" customWidth="1"/>
    <col min="8" max="8" width="5.75" customWidth="1"/>
    <col min="9" max="9" width="7" bestFit="1" customWidth="1"/>
    <col min="10" max="12" width="5" bestFit="1" customWidth="1"/>
    <col min="13" max="13" width="6" bestFit="1" customWidth="1"/>
    <col min="14" max="14" width="5" bestFit="1" customWidth="1"/>
    <col min="16" max="16" width="6.875" bestFit="1" customWidth="1"/>
    <col min="17" max="17" width="5" bestFit="1" customWidth="1"/>
    <col min="18" max="18" width="6" bestFit="1" customWidth="1"/>
    <col min="19" max="21" width="5" bestFit="1" customWidth="1"/>
  </cols>
  <sheetData>
    <row r="1" spans="1:21">
      <c r="A1" s="137" t="s">
        <v>217</v>
      </c>
      <c r="B1" s="105" t="s">
        <v>456</v>
      </c>
      <c r="C1" s="105"/>
      <c r="D1" s="105"/>
      <c r="E1" s="105"/>
      <c r="F1" s="105"/>
      <c r="G1" s="29"/>
    </row>
    <row r="2" spans="1:21">
      <c r="A2" s="137"/>
      <c r="B2" s="105"/>
      <c r="C2" s="105"/>
      <c r="D2" s="105"/>
      <c r="E2" s="105"/>
      <c r="F2" s="105"/>
      <c r="G2" s="29"/>
    </row>
    <row r="3" spans="1:21">
      <c r="A3" s="84" t="s">
        <v>335</v>
      </c>
      <c r="B3" s="109" t="s">
        <v>268</v>
      </c>
      <c r="C3" s="109" t="s">
        <v>269</v>
      </c>
      <c r="D3" s="109" t="s">
        <v>270</v>
      </c>
      <c r="E3" s="109" t="s">
        <v>271</v>
      </c>
      <c r="F3" s="110" t="s">
        <v>272</v>
      </c>
      <c r="G3" s="86" t="s">
        <v>321</v>
      </c>
      <c r="I3" s="41" t="s">
        <v>452</v>
      </c>
      <c r="J3" s="42" t="s">
        <v>268</v>
      </c>
      <c r="K3" s="42" t="s">
        <v>269</v>
      </c>
      <c r="L3" s="42" t="s">
        <v>270</v>
      </c>
      <c r="M3" s="42" t="s">
        <v>271</v>
      </c>
      <c r="N3" s="43" t="s">
        <v>272</v>
      </c>
      <c r="P3" s="41" t="s">
        <v>453</v>
      </c>
      <c r="Q3" s="42" t="s">
        <v>268</v>
      </c>
      <c r="R3" s="42" t="s">
        <v>269</v>
      </c>
      <c r="S3" s="42" t="s">
        <v>270</v>
      </c>
      <c r="T3" s="42" t="s">
        <v>271</v>
      </c>
      <c r="U3" s="43" t="s">
        <v>272</v>
      </c>
    </row>
    <row r="4" spans="1:21" s="34" customFormat="1">
      <c r="A4" s="298" t="s">
        <v>206</v>
      </c>
      <c r="B4" s="88">
        <v>10</v>
      </c>
      <c r="C4" s="89">
        <v>19</v>
      </c>
      <c r="D4" s="89">
        <v>14</v>
      </c>
      <c r="E4" s="89">
        <v>7</v>
      </c>
      <c r="F4" s="90">
        <v>12</v>
      </c>
      <c r="G4" s="91">
        <f>SUM(B4:F4)</f>
        <v>62</v>
      </c>
      <c r="I4" s="44" t="s">
        <v>206</v>
      </c>
      <c r="J4" s="46">
        <v>1.6129032258064515</v>
      </c>
      <c r="K4" s="47">
        <v>5.82258064516129</v>
      </c>
      <c r="L4" s="47">
        <v>3.161290322580645</v>
      </c>
      <c r="M4" s="47">
        <v>0.79032258064516125</v>
      </c>
      <c r="N4" s="48">
        <v>2.3225806451612905</v>
      </c>
      <c r="P4" s="44" t="s">
        <v>206</v>
      </c>
      <c r="Q4" s="46">
        <v>4.7619047619047619</v>
      </c>
      <c r="R4" s="47">
        <v>13.37037037037037</v>
      </c>
      <c r="S4" s="47">
        <v>7.2592592592592595</v>
      </c>
      <c r="T4" s="47">
        <v>2.2272727272727271</v>
      </c>
      <c r="U4" s="48">
        <v>8.4705882352941178</v>
      </c>
    </row>
    <row r="5" spans="1:21">
      <c r="A5" s="298" t="s">
        <v>207</v>
      </c>
      <c r="B5" s="92">
        <v>11</v>
      </c>
      <c r="C5" s="93">
        <v>7</v>
      </c>
      <c r="D5" s="93">
        <v>10</v>
      </c>
      <c r="E5" s="93">
        <v>0</v>
      </c>
      <c r="F5" s="94">
        <v>1</v>
      </c>
      <c r="G5" s="91">
        <f>SUM(B5:F5)</f>
        <v>29</v>
      </c>
      <c r="I5" s="44" t="s">
        <v>207</v>
      </c>
      <c r="J5" s="49">
        <v>4.1724137931034484</v>
      </c>
      <c r="K5" s="50">
        <v>1.6896551724137931</v>
      </c>
      <c r="L5" s="50">
        <v>3.4482758620689653</v>
      </c>
      <c r="M5" s="50">
        <v>0</v>
      </c>
      <c r="N5" s="51">
        <v>3.4482758620689655E-2</v>
      </c>
      <c r="P5" s="44" t="s">
        <v>207</v>
      </c>
      <c r="Q5" s="49">
        <v>5.7619047619047619</v>
      </c>
      <c r="R5" s="50">
        <v>1.8148148148148149</v>
      </c>
      <c r="S5" s="50">
        <v>3.7037037037037037</v>
      </c>
      <c r="T5" s="50">
        <v>0</v>
      </c>
      <c r="U5" s="51">
        <v>5.8823529411764705E-2</v>
      </c>
    </row>
    <row r="6" spans="1:21">
      <c r="A6" s="298" t="s">
        <v>208</v>
      </c>
      <c r="B6" s="92">
        <v>0</v>
      </c>
      <c r="C6" s="93">
        <v>0</v>
      </c>
      <c r="D6" s="93">
        <v>1</v>
      </c>
      <c r="E6" s="93">
        <v>12</v>
      </c>
      <c r="F6" s="94">
        <v>1</v>
      </c>
      <c r="G6" s="91">
        <f t="shared" ref="G6:G7" si="0">SUM(B6:F6)</f>
        <v>14</v>
      </c>
      <c r="I6" s="44" t="s">
        <v>208</v>
      </c>
      <c r="J6" s="49">
        <v>0</v>
      </c>
      <c r="K6" s="50">
        <v>0</v>
      </c>
      <c r="L6" s="50">
        <v>7.1428571428571425E-2</v>
      </c>
      <c r="M6" s="50">
        <v>10.285714285714286</v>
      </c>
      <c r="N6" s="51">
        <v>7.1428571428571425E-2</v>
      </c>
      <c r="P6" s="44" t="s">
        <v>208</v>
      </c>
      <c r="Q6" s="49">
        <v>0</v>
      </c>
      <c r="R6" s="50">
        <v>0</v>
      </c>
      <c r="S6" s="50">
        <v>3.7037037037037035E-2</v>
      </c>
      <c r="T6" s="50">
        <v>6.5454545454545459</v>
      </c>
      <c r="U6" s="51">
        <v>5.8823529411764705E-2</v>
      </c>
    </row>
    <row r="7" spans="1:21">
      <c r="A7" s="299" t="s">
        <v>209</v>
      </c>
      <c r="B7" s="95">
        <v>0</v>
      </c>
      <c r="C7" s="96">
        <v>1</v>
      </c>
      <c r="D7" s="96">
        <v>2</v>
      </c>
      <c r="E7" s="96">
        <v>3</v>
      </c>
      <c r="F7" s="97">
        <v>3</v>
      </c>
      <c r="G7" s="91">
        <f t="shared" si="0"/>
        <v>9</v>
      </c>
      <c r="I7" s="45" t="s">
        <v>209</v>
      </c>
      <c r="J7" s="52">
        <v>0</v>
      </c>
      <c r="K7" s="53">
        <v>0.1111111111111111</v>
      </c>
      <c r="L7" s="53">
        <v>0.44444444444444442</v>
      </c>
      <c r="M7" s="53">
        <v>1</v>
      </c>
      <c r="N7" s="54">
        <v>1</v>
      </c>
      <c r="P7" s="45" t="s">
        <v>209</v>
      </c>
      <c r="Q7" s="52">
        <v>0</v>
      </c>
      <c r="R7" s="53">
        <v>3.7037037037037035E-2</v>
      </c>
      <c r="S7" s="53">
        <v>0.14814814814814814</v>
      </c>
      <c r="T7" s="53">
        <v>0.40909090909090912</v>
      </c>
      <c r="U7" s="54">
        <v>0.52941176470588236</v>
      </c>
    </row>
    <row r="8" spans="1:21">
      <c r="A8" s="86" t="s">
        <v>320</v>
      </c>
      <c r="B8" s="30">
        <f>SUM(B5:B7)</f>
        <v>11</v>
      </c>
      <c r="C8" s="30">
        <f>SUM(C5:C7)</f>
        <v>8</v>
      </c>
      <c r="D8" s="30">
        <f>SUM(D5:D7)</f>
        <v>13</v>
      </c>
      <c r="E8" s="30">
        <f>SUM(E5:E7)</f>
        <v>15</v>
      </c>
      <c r="F8" s="30">
        <f>SUM(F5:F7)</f>
        <v>5</v>
      </c>
      <c r="G8" s="98">
        <f>SUM(B5:F7)</f>
        <v>52</v>
      </c>
    </row>
    <row r="9" spans="1:21">
      <c r="A9" s="101"/>
      <c r="B9" s="30"/>
      <c r="C9" s="30"/>
      <c r="D9" s="30"/>
      <c r="E9" s="30"/>
      <c r="F9" s="30"/>
      <c r="G9" s="31"/>
      <c r="I9" s="41" t="s">
        <v>454</v>
      </c>
      <c r="J9" s="42" t="s">
        <v>268</v>
      </c>
      <c r="K9" s="42" t="s">
        <v>269</v>
      </c>
      <c r="L9" s="42" t="s">
        <v>270</v>
      </c>
      <c r="M9" s="42" t="s">
        <v>271</v>
      </c>
      <c r="N9" s="43" t="s">
        <v>272</v>
      </c>
      <c r="P9" s="41" t="s">
        <v>455</v>
      </c>
      <c r="Q9" s="42" t="s">
        <v>268</v>
      </c>
      <c r="R9" s="42" t="s">
        <v>269</v>
      </c>
      <c r="S9" s="42" t="s">
        <v>270</v>
      </c>
      <c r="T9" s="42" t="s">
        <v>271</v>
      </c>
      <c r="U9" s="43" t="s">
        <v>272</v>
      </c>
    </row>
    <row r="10" spans="1:21" s="34" customFormat="1">
      <c r="A10" s="100" t="s">
        <v>457</v>
      </c>
      <c r="B10" s="85" t="s">
        <v>268</v>
      </c>
      <c r="C10" s="85" t="s">
        <v>269</v>
      </c>
      <c r="D10" s="85" t="s">
        <v>270</v>
      </c>
      <c r="E10" s="85" t="s">
        <v>271</v>
      </c>
      <c r="F10" s="85" t="s">
        <v>272</v>
      </c>
      <c r="G10" s="101"/>
      <c r="I10" s="44" t="s">
        <v>206</v>
      </c>
      <c r="J10" s="46">
        <v>2.4096385542168677</v>
      </c>
      <c r="K10" s="47">
        <v>8.1123595505617985</v>
      </c>
      <c r="L10" s="47">
        <v>4.404494382022472</v>
      </c>
      <c r="M10" s="47">
        <v>1.1666666666666667</v>
      </c>
      <c r="N10" s="48">
        <v>3.6455696202531644</v>
      </c>
      <c r="P10" s="44" t="s">
        <v>206</v>
      </c>
      <c r="Q10" s="46">
        <v>0.8771929824561403</v>
      </c>
      <c r="R10" s="47">
        <v>3.1666666666666665</v>
      </c>
      <c r="S10" s="47">
        <v>1.7192982456140351</v>
      </c>
      <c r="T10" s="47">
        <v>0.42982456140350878</v>
      </c>
      <c r="U10" s="48">
        <v>1.263157894736842</v>
      </c>
    </row>
    <row r="11" spans="1:21">
      <c r="A11" s="85" t="s">
        <v>206</v>
      </c>
      <c r="B11" s="105">
        <f>B4^2/$G4</f>
        <v>1.6129032258064515</v>
      </c>
      <c r="C11" s="105">
        <f t="shared" ref="C11:F11" si="1">C4^2/$G4</f>
        <v>5.82258064516129</v>
      </c>
      <c r="D11" s="105">
        <f t="shared" si="1"/>
        <v>3.161290322580645</v>
      </c>
      <c r="E11" s="105">
        <f t="shared" si="1"/>
        <v>0.79032258064516125</v>
      </c>
      <c r="F11" s="105">
        <f t="shared" si="1"/>
        <v>2.3225806451612905</v>
      </c>
      <c r="G11" s="29"/>
      <c r="I11" s="44" t="s">
        <v>207</v>
      </c>
      <c r="J11" s="49">
        <v>4.84</v>
      </c>
      <c r="K11" s="50">
        <v>1.75</v>
      </c>
      <c r="L11" s="50">
        <v>3.5714285714285716</v>
      </c>
      <c r="M11" s="50">
        <v>0</v>
      </c>
      <c r="N11" s="51">
        <v>4.3478260869565216E-2</v>
      </c>
      <c r="P11" s="44" t="s">
        <v>207</v>
      </c>
      <c r="Q11" s="49">
        <v>1.0614035087719298</v>
      </c>
      <c r="R11" s="50">
        <v>0.42982456140350878</v>
      </c>
      <c r="S11" s="50">
        <v>0.8771929824561403</v>
      </c>
      <c r="T11" s="50">
        <v>0</v>
      </c>
      <c r="U11" s="51">
        <v>8.771929824561403E-3</v>
      </c>
    </row>
    <row r="12" spans="1:21">
      <c r="A12" s="85" t="s">
        <v>207</v>
      </c>
      <c r="B12" s="105">
        <f t="shared" ref="B12:F12" si="2">B5^2/$G5</f>
        <v>4.1724137931034484</v>
      </c>
      <c r="C12" s="105">
        <f t="shared" si="2"/>
        <v>1.6896551724137931</v>
      </c>
      <c r="D12" s="105">
        <f t="shared" si="2"/>
        <v>3.4482758620689653</v>
      </c>
      <c r="E12" s="105">
        <f t="shared" si="2"/>
        <v>0</v>
      </c>
      <c r="F12" s="105">
        <f t="shared" si="2"/>
        <v>3.4482758620689655E-2</v>
      </c>
      <c r="G12" s="29"/>
      <c r="I12" s="44" t="s">
        <v>208</v>
      </c>
      <c r="J12" s="49">
        <v>0</v>
      </c>
      <c r="K12" s="50">
        <v>0</v>
      </c>
      <c r="L12" s="50">
        <v>4.878048780487805E-2</v>
      </c>
      <c r="M12" s="50">
        <v>8</v>
      </c>
      <c r="N12" s="51">
        <v>6.4516129032258063E-2</v>
      </c>
      <c r="P12" s="44" t="s">
        <v>208</v>
      </c>
      <c r="Q12" s="49">
        <v>0</v>
      </c>
      <c r="R12" s="50">
        <v>0</v>
      </c>
      <c r="S12" s="50">
        <v>8.771929824561403E-3</v>
      </c>
      <c r="T12" s="50">
        <v>1.263157894736842</v>
      </c>
      <c r="U12" s="51">
        <v>8.771929824561403E-3</v>
      </c>
    </row>
    <row r="13" spans="1:21">
      <c r="A13" s="85" t="s">
        <v>208</v>
      </c>
      <c r="B13" s="105">
        <f t="shared" ref="B13:F13" si="3">B6^2/$G6</f>
        <v>0</v>
      </c>
      <c r="C13" s="105">
        <f t="shared" si="3"/>
        <v>0</v>
      </c>
      <c r="D13" s="105">
        <f t="shared" si="3"/>
        <v>7.1428571428571425E-2</v>
      </c>
      <c r="E13" s="105">
        <f t="shared" si="3"/>
        <v>10.285714285714286</v>
      </c>
      <c r="F13" s="105">
        <f t="shared" si="3"/>
        <v>7.1428571428571425E-2</v>
      </c>
      <c r="G13" s="29"/>
      <c r="I13" s="45" t="s">
        <v>209</v>
      </c>
      <c r="J13" s="52">
        <v>0</v>
      </c>
      <c r="K13" s="53">
        <v>5.5555555555555552E-2</v>
      </c>
      <c r="L13" s="53">
        <v>0.22222222222222221</v>
      </c>
      <c r="M13" s="53">
        <v>0.58064516129032262</v>
      </c>
      <c r="N13" s="54">
        <v>0.69230769230769229</v>
      </c>
      <c r="P13" s="45" t="s">
        <v>209</v>
      </c>
      <c r="Q13" s="52">
        <v>0</v>
      </c>
      <c r="R13" s="53">
        <v>8.771929824561403E-3</v>
      </c>
      <c r="S13" s="53">
        <v>3.5087719298245612E-2</v>
      </c>
      <c r="T13" s="53">
        <v>7.8947368421052627E-2</v>
      </c>
      <c r="U13" s="54">
        <v>7.8947368421052627E-2</v>
      </c>
    </row>
    <row r="14" spans="1:21">
      <c r="A14" s="85" t="s">
        <v>209</v>
      </c>
      <c r="B14" s="105">
        <f t="shared" ref="B14:E14" si="4">B7^2/$G7</f>
        <v>0</v>
      </c>
      <c r="C14" s="105">
        <f t="shared" si="4"/>
        <v>0.1111111111111111</v>
      </c>
      <c r="D14" s="105">
        <f t="shared" si="4"/>
        <v>0.44444444444444442</v>
      </c>
      <c r="E14" s="105">
        <f t="shared" si="4"/>
        <v>1</v>
      </c>
      <c r="F14" s="105">
        <f>F7^2/$G7</f>
        <v>1</v>
      </c>
      <c r="G14" s="29"/>
    </row>
    <row r="15" spans="1:21">
      <c r="A15" s="85"/>
      <c r="B15" s="105"/>
      <c r="C15" s="105"/>
      <c r="D15" s="105"/>
      <c r="E15" s="105"/>
      <c r="F15" s="105"/>
      <c r="G15" s="29"/>
    </row>
    <row r="16" spans="1:21" s="34" customFormat="1">
      <c r="A16" s="106" t="s">
        <v>458</v>
      </c>
      <c r="B16" s="106" t="s">
        <v>268</v>
      </c>
      <c r="C16" s="106" t="s">
        <v>269</v>
      </c>
      <c r="D16" s="106" t="s">
        <v>270</v>
      </c>
      <c r="E16" s="106" t="s">
        <v>271</v>
      </c>
      <c r="F16" s="106" t="s">
        <v>272</v>
      </c>
      <c r="G16" s="138"/>
    </row>
    <row r="17" spans="1:7">
      <c r="A17" s="104" t="s">
        <v>206</v>
      </c>
      <c r="B17" s="105">
        <f>B4^2/B$8</f>
        <v>9.0909090909090917</v>
      </c>
      <c r="C17" s="105">
        <f t="shared" ref="C17:F17" si="5">C4^2/C$8</f>
        <v>45.125</v>
      </c>
      <c r="D17" s="105">
        <f t="shared" si="5"/>
        <v>15.076923076923077</v>
      </c>
      <c r="E17" s="105">
        <f t="shared" si="5"/>
        <v>3.2666666666666666</v>
      </c>
      <c r="F17" s="105">
        <f t="shared" si="5"/>
        <v>28.8</v>
      </c>
      <c r="G17" s="29"/>
    </row>
    <row r="18" spans="1:7">
      <c r="A18" s="104" t="s">
        <v>207</v>
      </c>
      <c r="B18" s="105">
        <f t="shared" ref="B18:F18" si="6">B5^2/B$8</f>
        <v>11</v>
      </c>
      <c r="C18" s="105">
        <f t="shared" si="6"/>
        <v>6.125</v>
      </c>
      <c r="D18" s="105">
        <f t="shared" si="6"/>
        <v>7.6923076923076925</v>
      </c>
      <c r="E18" s="105">
        <f t="shared" si="6"/>
        <v>0</v>
      </c>
      <c r="F18" s="105">
        <f t="shared" si="6"/>
        <v>0.2</v>
      </c>
      <c r="G18" s="29"/>
    </row>
    <row r="19" spans="1:7">
      <c r="A19" s="104" t="s">
        <v>208</v>
      </c>
      <c r="B19" s="105">
        <f t="shared" ref="B19:F19" si="7">B6^2/B$8</f>
        <v>0</v>
      </c>
      <c r="C19" s="105">
        <f t="shared" si="7"/>
        <v>0</v>
      </c>
      <c r="D19" s="105">
        <f t="shared" si="7"/>
        <v>7.6923076923076927E-2</v>
      </c>
      <c r="E19" s="105">
        <f t="shared" si="7"/>
        <v>9.6</v>
      </c>
      <c r="F19" s="105">
        <f t="shared" si="7"/>
        <v>0.2</v>
      </c>
      <c r="G19" s="29"/>
    </row>
    <row r="20" spans="1:7">
      <c r="A20" s="104" t="s">
        <v>209</v>
      </c>
      <c r="B20" s="105">
        <f t="shared" ref="B20:F20" si="8">B7^2/B$8</f>
        <v>0</v>
      </c>
      <c r="C20" s="105">
        <f t="shared" si="8"/>
        <v>0.125</v>
      </c>
      <c r="D20" s="105">
        <f t="shared" si="8"/>
        <v>0.30769230769230771</v>
      </c>
      <c r="E20" s="105">
        <f t="shared" si="8"/>
        <v>0.6</v>
      </c>
      <c r="F20" s="105">
        <f t="shared" si="8"/>
        <v>1.8</v>
      </c>
      <c r="G20" s="29"/>
    </row>
    <row r="21" spans="1:7">
      <c r="A21" s="85"/>
      <c r="B21" s="105"/>
      <c r="C21" s="105"/>
      <c r="D21" s="105"/>
      <c r="E21" s="105"/>
      <c r="F21" s="105"/>
      <c r="G21" s="29"/>
    </row>
    <row r="22" spans="1:7">
      <c r="A22" s="106" t="s">
        <v>459</v>
      </c>
      <c r="B22" s="106" t="s">
        <v>268</v>
      </c>
      <c r="C22" s="106" t="s">
        <v>269</v>
      </c>
      <c r="D22" s="106" t="s">
        <v>270</v>
      </c>
      <c r="E22" s="106" t="s">
        <v>271</v>
      </c>
      <c r="F22" s="106" t="s">
        <v>272</v>
      </c>
      <c r="G22" s="29"/>
    </row>
    <row r="23" spans="1:7">
      <c r="A23" s="104" t="s">
        <v>206</v>
      </c>
      <c r="B23" s="105">
        <f>2*B4^2/($G4+B$8)</f>
        <v>2.7397260273972601</v>
      </c>
      <c r="C23" s="105">
        <f t="shared" ref="C23:F23" si="9">2*C4^2/($G4+C$8)</f>
        <v>10.314285714285715</v>
      </c>
      <c r="D23" s="105">
        <f t="shared" si="9"/>
        <v>5.2266666666666666</v>
      </c>
      <c r="E23" s="105">
        <f t="shared" si="9"/>
        <v>1.2727272727272727</v>
      </c>
      <c r="F23" s="105">
        <f t="shared" si="9"/>
        <v>4.2985074626865671</v>
      </c>
      <c r="G23" s="29"/>
    </row>
    <row r="24" spans="1:7">
      <c r="A24" s="104" t="s">
        <v>207</v>
      </c>
      <c r="B24" s="105">
        <f t="shared" ref="B24:F24" si="10">2*B5^2/($G5+B$8)</f>
        <v>6.05</v>
      </c>
      <c r="C24" s="105">
        <f t="shared" si="10"/>
        <v>2.6486486486486487</v>
      </c>
      <c r="D24" s="105">
        <f t="shared" si="10"/>
        <v>4.7619047619047619</v>
      </c>
      <c r="E24" s="105">
        <f t="shared" si="10"/>
        <v>0</v>
      </c>
      <c r="F24" s="105">
        <f t="shared" si="10"/>
        <v>5.8823529411764705E-2</v>
      </c>
      <c r="G24" s="29"/>
    </row>
    <row r="25" spans="1:7">
      <c r="A25" s="104" t="s">
        <v>208</v>
      </c>
      <c r="B25" s="105">
        <f t="shared" ref="B25:F25" si="11">2*B6^2/($G6+B$8)</f>
        <v>0</v>
      </c>
      <c r="C25" s="105">
        <f t="shared" si="11"/>
        <v>0</v>
      </c>
      <c r="D25" s="105">
        <f t="shared" si="11"/>
        <v>7.407407407407407E-2</v>
      </c>
      <c r="E25" s="105">
        <f t="shared" si="11"/>
        <v>9.931034482758621</v>
      </c>
      <c r="F25" s="105">
        <f t="shared" si="11"/>
        <v>0.10526315789473684</v>
      </c>
      <c r="G25" s="29"/>
    </row>
    <row r="26" spans="1:7">
      <c r="A26" s="104" t="s">
        <v>209</v>
      </c>
      <c r="B26" s="105">
        <f t="shared" ref="B26:F26" si="12">2*B7^2/($G7+B$8)</f>
        <v>0</v>
      </c>
      <c r="C26" s="105">
        <f t="shared" si="12"/>
        <v>0.11764705882352941</v>
      </c>
      <c r="D26" s="105">
        <f t="shared" si="12"/>
        <v>0.36363636363636365</v>
      </c>
      <c r="E26" s="105">
        <f t="shared" si="12"/>
        <v>0.75</v>
      </c>
      <c r="F26" s="105">
        <f t="shared" si="12"/>
        <v>1.2857142857142858</v>
      </c>
      <c r="G26" s="29"/>
    </row>
    <row r="27" spans="1:7">
      <c r="A27" s="85"/>
      <c r="B27" s="105"/>
      <c r="C27" s="105"/>
      <c r="D27" s="105"/>
      <c r="E27" s="105"/>
      <c r="F27" s="105"/>
      <c r="G27" s="29"/>
    </row>
    <row r="28" spans="1:7" s="34" customFormat="1">
      <c r="A28" s="106" t="s">
        <v>460</v>
      </c>
      <c r="B28" s="106" t="s">
        <v>268</v>
      </c>
      <c r="C28" s="106" t="s">
        <v>269</v>
      </c>
      <c r="D28" s="106" t="s">
        <v>270</v>
      </c>
      <c r="E28" s="106" t="s">
        <v>271</v>
      </c>
      <c r="F28" s="106" t="s">
        <v>272</v>
      </c>
      <c r="G28" s="85"/>
    </row>
    <row r="29" spans="1:7">
      <c r="A29" s="104" t="s">
        <v>206</v>
      </c>
      <c r="B29" s="105">
        <f>B4^2/$G$8</f>
        <v>1.9230769230769231</v>
      </c>
      <c r="C29" s="105">
        <f t="shared" ref="C29:F29" si="13">C4^2/$G$8</f>
        <v>6.9423076923076925</v>
      </c>
      <c r="D29" s="105">
        <f t="shared" si="13"/>
        <v>3.7692307692307692</v>
      </c>
      <c r="E29" s="105">
        <f t="shared" si="13"/>
        <v>0.94230769230769229</v>
      </c>
      <c r="F29" s="105">
        <f t="shared" si="13"/>
        <v>2.7692307692307692</v>
      </c>
      <c r="G29" s="29"/>
    </row>
    <row r="30" spans="1:7">
      <c r="A30" s="104" t="s">
        <v>207</v>
      </c>
      <c r="B30" s="105">
        <f t="shared" ref="B30:F30" si="14">B5^2/$G$8</f>
        <v>2.3269230769230771</v>
      </c>
      <c r="C30" s="105">
        <f t="shared" si="14"/>
        <v>0.94230769230769229</v>
      </c>
      <c r="D30" s="105">
        <f t="shared" si="14"/>
        <v>1.9230769230769231</v>
      </c>
      <c r="E30" s="105">
        <f t="shared" si="14"/>
        <v>0</v>
      </c>
      <c r="F30" s="105">
        <f t="shared" si="14"/>
        <v>1.9230769230769232E-2</v>
      </c>
      <c r="G30" s="29"/>
    </row>
    <row r="31" spans="1:7">
      <c r="A31" s="104" t="s">
        <v>208</v>
      </c>
      <c r="B31" s="105">
        <f t="shared" ref="B31:F31" si="15">B6^2/$G$8</f>
        <v>0</v>
      </c>
      <c r="C31" s="105">
        <f t="shared" si="15"/>
        <v>0</v>
      </c>
      <c r="D31" s="105">
        <f t="shared" si="15"/>
        <v>1.9230769230769232E-2</v>
      </c>
      <c r="E31" s="105">
        <f t="shared" si="15"/>
        <v>2.7692307692307692</v>
      </c>
      <c r="F31" s="105">
        <f t="shared" si="15"/>
        <v>1.9230769230769232E-2</v>
      </c>
      <c r="G31" s="29"/>
    </row>
    <row r="32" spans="1:7">
      <c r="A32" s="104" t="s">
        <v>209</v>
      </c>
      <c r="B32" s="105">
        <f t="shared" ref="B32:F32" si="16">B7^2/$G$8</f>
        <v>0</v>
      </c>
      <c r="C32" s="105">
        <f t="shared" si="16"/>
        <v>1.9230769230769232E-2</v>
      </c>
      <c r="D32" s="105">
        <f t="shared" si="16"/>
        <v>7.6923076923076927E-2</v>
      </c>
      <c r="E32" s="105">
        <f t="shared" si="16"/>
        <v>0.17307692307692307</v>
      </c>
      <c r="F32" s="105">
        <f t="shared" si="16"/>
        <v>0.17307692307692307</v>
      </c>
      <c r="G32" s="29"/>
    </row>
    <row r="33" spans="1:7">
      <c r="A33" s="104"/>
      <c r="B33" s="105"/>
      <c r="C33" s="105"/>
      <c r="D33" s="105"/>
      <c r="E33" s="105"/>
      <c r="F33" s="105"/>
      <c r="G33" s="29"/>
    </row>
    <row r="34" spans="1:7" s="34" customFormat="1">
      <c r="A34" s="141"/>
      <c r="B34" s="83"/>
      <c r="C34" s="83"/>
      <c r="D34" s="83"/>
      <c r="E34" s="83"/>
      <c r="F34" s="83"/>
      <c r="G34" s="85"/>
    </row>
    <row r="35" spans="1:7">
      <c r="G35" s="29"/>
    </row>
    <row r="36" spans="1:7">
      <c r="G36" s="29"/>
    </row>
    <row r="37" spans="1:7">
      <c r="G37" s="29"/>
    </row>
    <row r="38" spans="1:7">
      <c r="G38" s="29"/>
    </row>
  </sheetData>
  <phoneticPr fontId="2"/>
  <conditionalFormatting sqref="G10">
    <cfRule type="dataBar" priority="6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{1F42A425-0C02-43AB-B5BF-A93708677004}</x14:id>
        </ext>
      </extLst>
    </cfRule>
  </conditionalFormatting>
  <conditionalFormatting sqref="G10">
    <cfRule type="dataBar" priority="6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{3DE5C303-BE86-4301-A60F-375277B12CCB}</x14:id>
        </ext>
      </extLst>
    </cfRule>
  </conditionalFormatting>
  <conditionalFormatting sqref="B1:F2">
    <cfRule type="dataBar" priority="64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{CAE406C4-E308-4DDD-BE6D-A5528DB4D87C}</x14:id>
        </ext>
      </extLst>
    </cfRule>
    <cfRule type="dataBar" priority="6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{290A83F0-3DD4-4705-BAD4-2C3E41CBECF6}</x14:id>
        </ext>
      </extLst>
    </cfRule>
  </conditionalFormatting>
  <conditionalFormatting sqref="B1:F2">
    <cfRule type="dataBar" priority="6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{179F67D0-D4CD-4847-9190-84E8041432B1}</x14:id>
        </ext>
      </extLst>
    </cfRule>
  </conditionalFormatting>
  <conditionalFormatting sqref="B11:F33">
    <cfRule type="dataBar" priority="175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{27FBA095-105B-4416-8156-FD992D671CE3}</x14:id>
        </ext>
      </extLst>
    </cfRule>
  </conditionalFormatting>
  <conditionalFormatting sqref="B11:F33">
    <cfRule type="dataBar" priority="175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{5F1BA007-49FE-458C-A596-93D3BD9670D3}</x14:id>
        </ext>
      </extLst>
    </cfRule>
  </conditionalFormatting>
  <conditionalFormatting sqref="B4:F7">
    <cfRule type="dataBar" priority="1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{30B754AD-DA99-4763-B42F-E20F6D2FC626}</x14:id>
        </ext>
      </extLst>
    </cfRule>
  </conditionalFormatting>
  <conditionalFormatting sqref="B4:F7">
    <cfRule type="dataBar" priority="1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{4876DFED-A9F4-4175-8083-E3D7BCE73AE7}</x14:id>
        </ext>
      </extLst>
    </cfRule>
  </conditionalFormatting>
  <conditionalFormatting sqref="A16">
    <cfRule type="dataBar" priority="7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{B2505E8E-E912-48AB-A88B-F4BBBAA62533}</x14:id>
        </ext>
      </extLst>
    </cfRule>
    <cfRule type="dataBar" priority="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{D1F43424-24C8-4378-9BAD-E3CA1A093EE9}</x14:id>
        </ext>
      </extLst>
    </cfRule>
  </conditionalFormatting>
  <conditionalFormatting sqref="A16">
    <cfRule type="dataBar" priority="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{B7E820AB-4A9A-49A3-AE41-7FCC31E18D5D}</x14:id>
        </ext>
      </extLst>
    </cfRule>
  </conditionalFormatting>
  <conditionalFormatting sqref="A22">
    <cfRule type="dataBar" priority="4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{6B4DD4F4-421F-451F-963C-0BBD427CF97F}</x14:id>
        </ext>
      </extLst>
    </cfRule>
    <cfRule type="dataBar" priority="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{B906A684-BF94-41B3-A108-060DC61B35A6}</x14:id>
        </ext>
      </extLst>
    </cfRule>
  </conditionalFormatting>
  <conditionalFormatting sqref="A22">
    <cfRule type="dataBar" priority="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{AC39683B-6951-4F6D-B261-167E02C917F7}</x14:id>
        </ext>
      </extLst>
    </cfRule>
  </conditionalFormatting>
  <conditionalFormatting sqref="A28">
    <cfRule type="dataBar" priority="1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{9A606B88-30D4-4D54-A8CE-10744FECF05F}</x14:id>
        </ext>
      </extLst>
    </cfRule>
    <cfRule type="dataBar" priority="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{955D3AAF-7DD8-4C77-A0BC-B6643A57CF86}</x14:id>
        </ext>
      </extLst>
    </cfRule>
  </conditionalFormatting>
  <conditionalFormatting sqref="A28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{B444815F-2A12-4D31-916D-EE3732D269B2}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42A425-0C02-43AB-B5BF-A93708677004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3DE5C303-BE86-4301-A60F-375277B12CC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CAE406C4-E308-4DDD-BE6D-A5528DB4D87C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90A83F0-3DD4-4705-BAD4-2C3E41CBECF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179F67D0-D4CD-4847-9190-84E8041432B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27FBA095-105B-4416-8156-FD992D671CE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B11:F33</xm:sqref>
        </x14:conditionalFormatting>
        <x14:conditionalFormatting xmlns:xm="http://schemas.microsoft.com/office/excel/2006/main">
          <x14:cfRule type="dataBar" id="{5F1BA007-49FE-458C-A596-93D3BD9670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B11:F33</xm:sqref>
        </x14:conditionalFormatting>
        <x14:conditionalFormatting xmlns:xm="http://schemas.microsoft.com/office/excel/2006/main">
          <x14:cfRule type="dataBar" id="{30B754AD-DA99-4763-B42F-E20F6D2FC62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4876DFED-A9F4-4175-8083-E3D7BCE73A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B2505E8E-E912-48AB-A88B-F4BBBAA62533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1F43424-24C8-4378-9BAD-E3CA1A093EE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A16</xm:sqref>
        </x14:conditionalFormatting>
        <x14:conditionalFormatting xmlns:xm="http://schemas.microsoft.com/office/excel/2006/main">
          <x14:cfRule type="dataBar" id="{B7E820AB-4A9A-49A3-AE41-7FCC31E18D5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A16</xm:sqref>
        </x14:conditionalFormatting>
        <x14:conditionalFormatting xmlns:xm="http://schemas.microsoft.com/office/excel/2006/main">
          <x14:cfRule type="dataBar" id="{6B4DD4F4-421F-451F-963C-0BBD427CF97F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906A684-BF94-41B3-A108-060DC61B35A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A22</xm:sqref>
        </x14:conditionalFormatting>
        <x14:conditionalFormatting xmlns:xm="http://schemas.microsoft.com/office/excel/2006/main">
          <x14:cfRule type="dataBar" id="{AC39683B-6951-4F6D-B261-167E02C917F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A22</xm:sqref>
        </x14:conditionalFormatting>
        <x14:conditionalFormatting xmlns:xm="http://schemas.microsoft.com/office/excel/2006/main">
          <x14:cfRule type="dataBar" id="{9A606B88-30D4-4D54-A8CE-10744FECF05F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55D3AAF-7DD8-4C77-A0BC-B6643A57CF8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A28</xm:sqref>
        </x14:conditionalFormatting>
        <x14:conditionalFormatting xmlns:xm="http://schemas.microsoft.com/office/excel/2006/main">
          <x14:cfRule type="dataBar" id="{B444815F-2A12-4D31-916D-EE3732D269B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A28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35"/>
  <sheetViews>
    <sheetView workbookViewId="0">
      <selection activeCell="A3" sqref="A3"/>
    </sheetView>
  </sheetViews>
  <sheetFormatPr defaultRowHeight="15.75"/>
  <cols>
    <col min="1" max="1" width="15" style="83" bestFit="1" customWidth="1"/>
    <col min="2" max="6" width="5.5" style="83" bestFit="1" customWidth="1"/>
    <col min="7" max="8" width="7.5" style="83" bestFit="1" customWidth="1"/>
    <col min="9" max="9" width="3.5" style="83" customWidth="1"/>
    <col min="10" max="10" width="19.375" style="83" bestFit="1" customWidth="1"/>
    <col min="11" max="15" width="6.25" style="83" bestFit="1" customWidth="1"/>
    <col min="16" max="16" width="9" style="83"/>
    <col min="17" max="17" width="11.125" style="83" bestFit="1" customWidth="1"/>
    <col min="18" max="22" width="5" style="83" bestFit="1" customWidth="1"/>
    <col min="23" max="23" width="4.125" style="83" customWidth="1"/>
    <col min="24" max="24" width="7.875" style="83" bestFit="1" customWidth="1"/>
    <col min="25" max="29" width="5.25" style="83" bestFit="1" customWidth="1"/>
    <col min="30" max="30" width="9" style="83"/>
  </cols>
  <sheetData>
    <row r="1" spans="1:30">
      <c r="A1" s="139" t="s">
        <v>347</v>
      </c>
      <c r="B1" s="105" t="s">
        <v>461</v>
      </c>
      <c r="C1" s="105"/>
      <c r="D1" s="105"/>
      <c r="E1" s="105"/>
      <c r="F1" s="105"/>
      <c r="G1" s="29"/>
      <c r="H1" s="29"/>
      <c r="I1" s="29"/>
      <c r="J1" s="29"/>
      <c r="K1" s="29"/>
      <c r="L1" s="29"/>
    </row>
    <row r="2" spans="1:30">
      <c r="A2" s="104"/>
      <c r="B2" s="105"/>
      <c r="C2" s="105"/>
      <c r="D2" s="105"/>
      <c r="E2" s="105"/>
      <c r="F2" s="105"/>
      <c r="G2" s="29"/>
      <c r="H2" s="29"/>
      <c r="I2" s="29"/>
      <c r="J2" s="29"/>
      <c r="K2" s="29"/>
      <c r="L2" s="29"/>
    </row>
    <row r="3" spans="1:30" s="34" customFormat="1">
      <c r="A3" s="300" t="s">
        <v>587</v>
      </c>
      <c r="B3" s="172" t="s">
        <v>268</v>
      </c>
      <c r="C3" s="172" t="s">
        <v>269</v>
      </c>
      <c r="D3" s="172" t="s">
        <v>270</v>
      </c>
      <c r="E3" s="172" t="s">
        <v>271</v>
      </c>
      <c r="F3" s="173" t="s">
        <v>272</v>
      </c>
      <c r="G3" s="35" t="s">
        <v>471</v>
      </c>
      <c r="H3" s="100" t="s">
        <v>472</v>
      </c>
      <c r="I3" s="85"/>
      <c r="J3" s="85"/>
      <c r="K3" s="85"/>
      <c r="L3" s="85"/>
      <c r="M3" s="141"/>
      <c r="N3" s="141"/>
      <c r="O3" s="141"/>
      <c r="P3" s="141"/>
      <c r="Q3" s="111" t="s">
        <v>462</v>
      </c>
      <c r="R3" s="112" t="s">
        <v>268</v>
      </c>
      <c r="S3" s="112" t="s">
        <v>269</v>
      </c>
      <c r="T3" s="112" t="s">
        <v>270</v>
      </c>
      <c r="U3" s="112" t="s">
        <v>271</v>
      </c>
      <c r="V3" s="113" t="s">
        <v>272</v>
      </c>
      <c r="W3" s="248"/>
      <c r="X3" s="111" t="s">
        <v>463</v>
      </c>
      <c r="Y3" s="112" t="s">
        <v>268</v>
      </c>
      <c r="Z3" s="112" t="s">
        <v>269</v>
      </c>
      <c r="AA3" s="112" t="s">
        <v>270</v>
      </c>
      <c r="AB3" s="112" t="s">
        <v>271</v>
      </c>
      <c r="AC3" s="113" t="s">
        <v>272</v>
      </c>
      <c r="AD3" s="141"/>
    </row>
    <row r="4" spans="1:30">
      <c r="A4" s="298" t="s">
        <v>206</v>
      </c>
      <c r="B4" s="301">
        <v>10</v>
      </c>
      <c r="C4" s="302">
        <v>19</v>
      </c>
      <c r="D4" s="302">
        <v>14</v>
      </c>
      <c r="E4" s="302">
        <v>7</v>
      </c>
      <c r="F4" s="303">
        <v>12</v>
      </c>
      <c r="G4" s="91">
        <f>MIN(B4:F4)</f>
        <v>7</v>
      </c>
      <c r="H4" s="142">
        <f>MAX(B4:F4)</f>
        <v>19</v>
      </c>
      <c r="I4" s="142"/>
      <c r="J4" s="29"/>
      <c r="K4" s="29"/>
      <c r="L4" s="29"/>
      <c r="Q4" s="118" t="s">
        <v>206</v>
      </c>
      <c r="R4" s="119">
        <v>0.25</v>
      </c>
      <c r="S4" s="120">
        <v>1</v>
      </c>
      <c r="T4" s="120">
        <v>0.58333333333333337</v>
      </c>
      <c r="U4" s="120">
        <v>0</v>
      </c>
      <c r="V4" s="121">
        <v>0.41666666666666669</v>
      </c>
      <c r="W4" s="249"/>
      <c r="X4" s="118" t="s">
        <v>206</v>
      </c>
      <c r="Y4" s="119">
        <v>0.90909090909090906</v>
      </c>
      <c r="Z4" s="120">
        <v>1</v>
      </c>
      <c r="AA4" s="120">
        <v>1</v>
      </c>
      <c r="AB4" s="120">
        <v>0.58333333333333337</v>
      </c>
      <c r="AC4" s="121">
        <v>1</v>
      </c>
    </row>
    <row r="5" spans="1:30">
      <c r="A5" s="298" t="s">
        <v>207</v>
      </c>
      <c r="B5" s="304">
        <v>11</v>
      </c>
      <c r="C5" s="305">
        <v>7</v>
      </c>
      <c r="D5" s="305">
        <v>10</v>
      </c>
      <c r="E5" s="305">
        <v>0</v>
      </c>
      <c r="F5" s="306">
        <v>1</v>
      </c>
      <c r="G5" s="91">
        <f t="shared" ref="G5:G7" si="0">MIN(B5:F5)</f>
        <v>0</v>
      </c>
      <c r="H5" s="142">
        <f t="shared" ref="H5:H7" si="1">MAX(B5:F5)</f>
        <v>11</v>
      </c>
      <c r="I5" s="142"/>
      <c r="J5" s="29"/>
      <c r="K5" s="29"/>
      <c r="L5" s="29"/>
      <c r="Q5" s="118" t="s">
        <v>207</v>
      </c>
      <c r="R5" s="124">
        <v>1</v>
      </c>
      <c r="S5" s="125">
        <v>0.63636363636363635</v>
      </c>
      <c r="T5" s="125">
        <v>0.90909090909090906</v>
      </c>
      <c r="U5" s="125">
        <v>0</v>
      </c>
      <c r="V5" s="126">
        <v>9.0909090909090912E-2</v>
      </c>
      <c r="W5" s="249"/>
      <c r="X5" s="118" t="s">
        <v>207</v>
      </c>
      <c r="Y5" s="124">
        <v>1</v>
      </c>
      <c r="Z5" s="125">
        <v>0.36842105263157893</v>
      </c>
      <c r="AA5" s="125">
        <v>0.69230769230769229</v>
      </c>
      <c r="AB5" s="125">
        <v>0</v>
      </c>
      <c r="AC5" s="126">
        <v>0</v>
      </c>
    </row>
    <row r="6" spans="1:30">
      <c r="A6" s="298" t="s">
        <v>208</v>
      </c>
      <c r="B6" s="304">
        <v>0</v>
      </c>
      <c r="C6" s="305">
        <v>0</v>
      </c>
      <c r="D6" s="305">
        <v>1</v>
      </c>
      <c r="E6" s="305">
        <v>12</v>
      </c>
      <c r="F6" s="306">
        <v>1</v>
      </c>
      <c r="G6" s="91">
        <f t="shared" si="0"/>
        <v>0</v>
      </c>
      <c r="H6" s="142">
        <f t="shared" si="1"/>
        <v>12</v>
      </c>
      <c r="I6" s="142"/>
      <c r="J6" s="29"/>
      <c r="K6" s="29"/>
      <c r="L6" s="29"/>
      <c r="Q6" s="118" t="s">
        <v>208</v>
      </c>
      <c r="R6" s="124">
        <v>0</v>
      </c>
      <c r="S6" s="125">
        <v>0</v>
      </c>
      <c r="T6" s="125">
        <v>8.3333333333333329E-2</v>
      </c>
      <c r="U6" s="125">
        <v>1</v>
      </c>
      <c r="V6" s="126">
        <v>8.3333333333333329E-2</v>
      </c>
      <c r="W6" s="249"/>
      <c r="X6" s="118" t="s">
        <v>208</v>
      </c>
      <c r="Y6" s="124">
        <v>0</v>
      </c>
      <c r="Z6" s="125">
        <v>0</v>
      </c>
      <c r="AA6" s="125">
        <v>0</v>
      </c>
      <c r="AB6" s="125">
        <v>1</v>
      </c>
      <c r="AC6" s="126">
        <v>0</v>
      </c>
    </row>
    <row r="7" spans="1:30">
      <c r="A7" s="299" t="s">
        <v>209</v>
      </c>
      <c r="B7" s="307">
        <v>0</v>
      </c>
      <c r="C7" s="308">
        <v>1</v>
      </c>
      <c r="D7" s="308">
        <v>2</v>
      </c>
      <c r="E7" s="308">
        <v>3</v>
      </c>
      <c r="F7" s="309">
        <v>3</v>
      </c>
      <c r="G7" s="91">
        <f t="shared" si="0"/>
        <v>0</v>
      </c>
      <c r="H7" s="142">
        <f t="shared" si="1"/>
        <v>3</v>
      </c>
      <c r="I7" s="142"/>
      <c r="J7" s="29"/>
      <c r="K7" s="29"/>
      <c r="L7" s="29"/>
      <c r="Q7" s="131" t="s">
        <v>209</v>
      </c>
      <c r="R7" s="132">
        <v>0</v>
      </c>
      <c r="S7" s="133">
        <v>0.33333333333333331</v>
      </c>
      <c r="T7" s="133">
        <v>0.66666666666666663</v>
      </c>
      <c r="U7" s="133">
        <v>1</v>
      </c>
      <c r="V7" s="134">
        <v>1</v>
      </c>
      <c r="W7" s="249"/>
      <c r="X7" s="131" t="s">
        <v>209</v>
      </c>
      <c r="Y7" s="132">
        <v>0</v>
      </c>
      <c r="Z7" s="133">
        <v>5.2631578947368418E-2</v>
      </c>
      <c r="AA7" s="133">
        <v>7.6923076923076927E-2</v>
      </c>
      <c r="AB7" s="133">
        <v>0.25</v>
      </c>
      <c r="AC7" s="134">
        <v>0.18181818181818182</v>
      </c>
    </row>
    <row r="8" spans="1:30">
      <c r="A8" s="35" t="s">
        <v>473</v>
      </c>
      <c r="B8" s="30">
        <f>MIN(B4:B7)</f>
        <v>0</v>
      </c>
      <c r="C8" s="30">
        <f t="shared" ref="C8:F8" si="2">MIN(C4:C7)</f>
        <v>0</v>
      </c>
      <c r="D8" s="30">
        <f t="shared" si="2"/>
        <v>1</v>
      </c>
      <c r="E8" s="30">
        <f t="shared" si="2"/>
        <v>0</v>
      </c>
      <c r="F8" s="30">
        <f t="shared" si="2"/>
        <v>1</v>
      </c>
      <c r="G8" s="143">
        <f>MIN(B4:F7)</f>
        <v>0</v>
      </c>
      <c r="H8" s="144"/>
      <c r="I8" s="29"/>
      <c r="J8" s="29"/>
      <c r="K8" s="29"/>
      <c r="L8" s="2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</row>
    <row r="9" spans="1:30">
      <c r="A9" s="35" t="s">
        <v>474</v>
      </c>
      <c r="B9" s="30">
        <f>MAX(B4:B7)</f>
        <v>11</v>
      </c>
      <c r="C9" s="30">
        <f t="shared" ref="C9:F9" si="3">MAX(C4:C7)</f>
        <v>19</v>
      </c>
      <c r="D9" s="30">
        <f t="shared" si="3"/>
        <v>14</v>
      </c>
      <c r="E9" s="30">
        <f t="shared" si="3"/>
        <v>12</v>
      </c>
      <c r="F9" s="30">
        <f t="shared" si="3"/>
        <v>12</v>
      </c>
      <c r="G9" s="145"/>
      <c r="H9" s="146">
        <f>MAX(B4:F7)</f>
        <v>19</v>
      </c>
      <c r="I9" s="142"/>
      <c r="J9" s="29"/>
      <c r="K9" s="29"/>
      <c r="L9" s="29"/>
      <c r="Q9" s="111" t="s">
        <v>464</v>
      </c>
      <c r="R9" s="112" t="s">
        <v>268</v>
      </c>
      <c r="S9" s="112" t="s">
        <v>269</v>
      </c>
      <c r="T9" s="112" t="s">
        <v>270</v>
      </c>
      <c r="U9" s="112" t="s">
        <v>271</v>
      </c>
      <c r="V9" s="113" t="s">
        <v>272</v>
      </c>
      <c r="W9" s="249"/>
      <c r="X9" s="171" t="s">
        <v>465</v>
      </c>
      <c r="Y9" s="172" t="s">
        <v>268</v>
      </c>
      <c r="Z9" s="172" t="s">
        <v>269</v>
      </c>
      <c r="AA9" s="172" t="s">
        <v>270</v>
      </c>
      <c r="AB9" s="172" t="s">
        <v>271</v>
      </c>
      <c r="AC9" s="173" t="s">
        <v>272</v>
      </c>
    </row>
    <row r="10" spans="1:30">
      <c r="A10" s="101"/>
      <c r="B10" s="30"/>
      <c r="C10" s="30"/>
      <c r="D10" s="30"/>
      <c r="E10" s="30"/>
      <c r="F10" s="30"/>
      <c r="G10" s="29"/>
      <c r="H10" s="147"/>
      <c r="I10" s="147"/>
      <c r="J10" s="29"/>
      <c r="K10" s="29"/>
      <c r="L10" s="29"/>
      <c r="Q10" s="118" t="s">
        <v>206</v>
      </c>
      <c r="R10" s="119">
        <v>0.56521739130434778</v>
      </c>
      <c r="S10" s="120">
        <v>1</v>
      </c>
      <c r="T10" s="120">
        <v>0.8</v>
      </c>
      <c r="U10" s="120">
        <v>0.29166666666666669</v>
      </c>
      <c r="V10" s="121">
        <v>0.69565217391304346</v>
      </c>
      <c r="W10" s="249"/>
      <c r="X10" s="174" t="s">
        <v>206</v>
      </c>
      <c r="Y10" s="119">
        <v>0.52631578947368418</v>
      </c>
      <c r="Z10" s="120">
        <v>1</v>
      </c>
      <c r="AA10" s="120">
        <v>0.73684210526315785</v>
      </c>
      <c r="AB10" s="120">
        <v>0.36842105263157893</v>
      </c>
      <c r="AC10" s="121">
        <v>0.63157894736842102</v>
      </c>
    </row>
    <row r="11" spans="1:30">
      <c r="A11" s="85"/>
      <c r="B11" s="30"/>
      <c r="C11" s="30"/>
      <c r="D11" s="30"/>
      <c r="E11" s="30"/>
      <c r="F11" s="30"/>
      <c r="G11" s="99"/>
      <c r="H11" s="29"/>
      <c r="I11" s="29"/>
      <c r="J11" s="29"/>
      <c r="K11" s="29"/>
      <c r="L11" s="29"/>
      <c r="Q11" s="118" t="s">
        <v>207</v>
      </c>
      <c r="R11" s="124">
        <v>1</v>
      </c>
      <c r="S11" s="125">
        <v>0.46666666666666667</v>
      </c>
      <c r="T11" s="125">
        <v>0.79166666666666663</v>
      </c>
      <c r="U11" s="125">
        <v>0</v>
      </c>
      <c r="V11" s="126">
        <v>4.5454545454545456E-2</v>
      </c>
      <c r="W11" s="249"/>
      <c r="X11" s="174" t="s">
        <v>207</v>
      </c>
      <c r="Y11" s="124">
        <v>0.57894736842105265</v>
      </c>
      <c r="Z11" s="125">
        <v>0.36842105263157893</v>
      </c>
      <c r="AA11" s="125">
        <v>0.52631578947368418</v>
      </c>
      <c r="AB11" s="125">
        <v>0</v>
      </c>
      <c r="AC11" s="126">
        <v>5.2631578947368418E-2</v>
      </c>
    </row>
    <row r="12" spans="1:30" s="34" customFormat="1">
      <c r="A12" s="102" t="s">
        <v>254</v>
      </c>
      <c r="B12" s="85" t="s">
        <v>268</v>
      </c>
      <c r="C12" s="85" t="s">
        <v>269</v>
      </c>
      <c r="D12" s="85" t="s">
        <v>270</v>
      </c>
      <c r="E12" s="85" t="s">
        <v>271</v>
      </c>
      <c r="F12" s="85" t="s">
        <v>272</v>
      </c>
      <c r="G12" s="85"/>
      <c r="H12" s="85"/>
      <c r="I12" s="85"/>
      <c r="J12" s="148" t="s">
        <v>255</v>
      </c>
      <c r="K12" s="85" t="s">
        <v>268</v>
      </c>
      <c r="L12" s="85" t="s">
        <v>269</v>
      </c>
      <c r="M12" s="85" t="s">
        <v>270</v>
      </c>
      <c r="N12" s="85" t="s">
        <v>271</v>
      </c>
      <c r="O12" s="85" t="s">
        <v>272</v>
      </c>
      <c r="P12" s="141"/>
      <c r="Q12" s="118" t="s">
        <v>208</v>
      </c>
      <c r="R12" s="124">
        <v>0</v>
      </c>
      <c r="S12" s="125">
        <v>0</v>
      </c>
      <c r="T12" s="125">
        <v>0.04</v>
      </c>
      <c r="U12" s="125">
        <v>1</v>
      </c>
      <c r="V12" s="126">
        <v>4.3478260869565216E-2</v>
      </c>
      <c r="W12" s="248"/>
      <c r="X12" s="174" t="s">
        <v>208</v>
      </c>
      <c r="Y12" s="124">
        <v>0</v>
      </c>
      <c r="Z12" s="125">
        <v>0</v>
      </c>
      <c r="AA12" s="125">
        <v>5.2631578947368418E-2</v>
      </c>
      <c r="AB12" s="125">
        <v>0.63157894736842102</v>
      </c>
      <c r="AC12" s="126">
        <v>5.2631578947368418E-2</v>
      </c>
      <c r="AD12" s="141"/>
    </row>
    <row r="13" spans="1:30">
      <c r="A13" s="104" t="s">
        <v>206</v>
      </c>
      <c r="B13" s="103">
        <f>(B4-$G4)/($H4-$G4)</f>
        <v>0.25</v>
      </c>
      <c r="C13" s="103">
        <f t="shared" ref="C13:F13" si="4">(C4-$G4)/($H4-$G4)</f>
        <v>1</v>
      </c>
      <c r="D13" s="103">
        <f t="shared" si="4"/>
        <v>0.58333333333333337</v>
      </c>
      <c r="E13" s="103">
        <f t="shared" si="4"/>
        <v>0</v>
      </c>
      <c r="F13" s="103">
        <f t="shared" si="4"/>
        <v>0.41666666666666669</v>
      </c>
      <c r="G13" s="29"/>
      <c r="H13" s="29"/>
      <c r="I13" s="29"/>
      <c r="J13" s="104" t="s">
        <v>206</v>
      </c>
      <c r="K13" s="103">
        <f t="shared" ref="K13:O16" si="5">B13*2-1</f>
        <v>-0.5</v>
      </c>
      <c r="L13" s="103">
        <f t="shared" si="5"/>
        <v>1</v>
      </c>
      <c r="M13" s="103">
        <f t="shared" si="5"/>
        <v>0.16666666666666674</v>
      </c>
      <c r="N13" s="103">
        <f t="shared" si="5"/>
        <v>-1</v>
      </c>
      <c r="O13" s="103">
        <f t="shared" si="5"/>
        <v>-0.16666666666666663</v>
      </c>
      <c r="Q13" s="131" t="s">
        <v>209</v>
      </c>
      <c r="R13" s="132">
        <v>0</v>
      </c>
      <c r="S13" s="133">
        <v>9.0909090909090912E-2</v>
      </c>
      <c r="T13" s="133">
        <v>0.1875</v>
      </c>
      <c r="U13" s="133">
        <v>0.4</v>
      </c>
      <c r="V13" s="134">
        <v>0.35714285714285715</v>
      </c>
      <c r="W13" s="249"/>
      <c r="X13" s="175" t="s">
        <v>209</v>
      </c>
      <c r="Y13" s="132">
        <v>0</v>
      </c>
      <c r="Z13" s="133">
        <v>5.2631578947368418E-2</v>
      </c>
      <c r="AA13" s="133">
        <v>0.10526315789473684</v>
      </c>
      <c r="AB13" s="133">
        <v>0.15789473684210525</v>
      </c>
      <c r="AC13" s="134">
        <v>0.15789473684210525</v>
      </c>
    </row>
    <row r="14" spans="1:30">
      <c r="A14" s="104" t="s">
        <v>207</v>
      </c>
      <c r="B14" s="103">
        <f t="shared" ref="B14:F16" si="6">(B5-$G5)/($H5-$G5)</f>
        <v>1</v>
      </c>
      <c r="C14" s="103">
        <f t="shared" si="6"/>
        <v>0.63636363636363635</v>
      </c>
      <c r="D14" s="103">
        <f t="shared" si="6"/>
        <v>0.90909090909090906</v>
      </c>
      <c r="E14" s="103">
        <f t="shared" si="6"/>
        <v>0</v>
      </c>
      <c r="F14" s="103">
        <f t="shared" si="6"/>
        <v>9.0909090909090912E-2</v>
      </c>
      <c r="G14" s="29"/>
      <c r="H14" s="29"/>
      <c r="I14" s="29"/>
      <c r="J14" s="104" t="s">
        <v>207</v>
      </c>
      <c r="K14" s="103">
        <f t="shared" si="5"/>
        <v>1</v>
      </c>
      <c r="L14" s="103">
        <f t="shared" si="5"/>
        <v>0.27272727272727271</v>
      </c>
      <c r="M14" s="103">
        <f t="shared" si="5"/>
        <v>0.81818181818181812</v>
      </c>
      <c r="N14" s="103">
        <f t="shared" si="5"/>
        <v>-1</v>
      </c>
      <c r="O14" s="103">
        <f t="shared" si="5"/>
        <v>-0.81818181818181812</v>
      </c>
    </row>
    <row r="15" spans="1:30">
      <c r="A15" s="104" t="s">
        <v>208</v>
      </c>
      <c r="B15" s="103">
        <f t="shared" si="6"/>
        <v>0</v>
      </c>
      <c r="C15" s="103">
        <f t="shared" si="6"/>
        <v>0</v>
      </c>
      <c r="D15" s="103">
        <f t="shared" si="6"/>
        <v>8.3333333333333329E-2</v>
      </c>
      <c r="E15" s="103">
        <f t="shared" si="6"/>
        <v>1</v>
      </c>
      <c r="F15" s="103">
        <f t="shared" si="6"/>
        <v>8.3333333333333329E-2</v>
      </c>
      <c r="G15" s="29"/>
      <c r="H15" s="29"/>
      <c r="I15" s="29"/>
      <c r="J15" s="104" t="s">
        <v>208</v>
      </c>
      <c r="K15" s="103">
        <f t="shared" si="5"/>
        <v>-1</v>
      </c>
      <c r="L15" s="103">
        <f t="shared" si="5"/>
        <v>-1</v>
      </c>
      <c r="M15" s="103">
        <f t="shared" si="5"/>
        <v>-0.83333333333333337</v>
      </c>
      <c r="N15" s="103">
        <f t="shared" si="5"/>
        <v>1</v>
      </c>
      <c r="O15" s="103">
        <f t="shared" si="5"/>
        <v>-0.83333333333333337</v>
      </c>
      <c r="Q15" s="171" t="s">
        <v>466</v>
      </c>
      <c r="R15" s="172" t="s">
        <v>268</v>
      </c>
      <c r="S15" s="172" t="s">
        <v>269</v>
      </c>
      <c r="T15" s="172" t="s">
        <v>270</v>
      </c>
      <c r="U15" s="172" t="s">
        <v>271</v>
      </c>
      <c r="V15" s="173" t="s">
        <v>272</v>
      </c>
    </row>
    <row r="16" spans="1:30">
      <c r="A16" s="104" t="s">
        <v>209</v>
      </c>
      <c r="B16" s="103">
        <f t="shared" si="6"/>
        <v>0</v>
      </c>
      <c r="C16" s="103">
        <f t="shared" si="6"/>
        <v>0.33333333333333331</v>
      </c>
      <c r="D16" s="103">
        <f t="shared" si="6"/>
        <v>0.66666666666666663</v>
      </c>
      <c r="E16" s="103">
        <f t="shared" si="6"/>
        <v>1</v>
      </c>
      <c r="F16" s="103">
        <f t="shared" si="6"/>
        <v>1</v>
      </c>
      <c r="G16" s="29"/>
      <c r="H16" s="29"/>
      <c r="I16" s="29"/>
      <c r="J16" s="104" t="s">
        <v>209</v>
      </c>
      <c r="K16" s="103">
        <f t="shared" si="5"/>
        <v>-1</v>
      </c>
      <c r="L16" s="103">
        <f t="shared" si="5"/>
        <v>-0.33333333333333337</v>
      </c>
      <c r="M16" s="103">
        <f t="shared" si="5"/>
        <v>0.33333333333333326</v>
      </c>
      <c r="N16" s="103">
        <f t="shared" si="5"/>
        <v>1</v>
      </c>
      <c r="O16" s="103">
        <f t="shared" si="5"/>
        <v>1</v>
      </c>
      <c r="Q16" s="174" t="s">
        <v>206</v>
      </c>
      <c r="R16" s="119">
        <v>0.52631578947368418</v>
      </c>
      <c r="S16" s="120">
        <v>1</v>
      </c>
      <c r="T16" s="120">
        <v>0.73684210526315785</v>
      </c>
      <c r="U16" s="120">
        <v>0.36842105263157893</v>
      </c>
      <c r="V16" s="121">
        <v>0.63157894736842102</v>
      </c>
    </row>
    <row r="17" spans="1:30">
      <c r="A17" s="101"/>
      <c r="B17" s="105"/>
      <c r="C17" s="105"/>
      <c r="D17" s="105"/>
      <c r="E17" s="105"/>
      <c r="F17" s="105"/>
      <c r="G17" s="29"/>
      <c r="H17" s="29"/>
      <c r="I17" s="29"/>
      <c r="J17" s="149"/>
      <c r="K17" s="105"/>
      <c r="L17" s="105"/>
      <c r="M17" s="105"/>
      <c r="N17" s="105"/>
      <c r="O17" s="105"/>
      <c r="Q17" s="174" t="s">
        <v>207</v>
      </c>
      <c r="R17" s="124">
        <v>1</v>
      </c>
      <c r="S17" s="125">
        <v>0.63636363636363635</v>
      </c>
      <c r="T17" s="125">
        <v>0.90909090909090906</v>
      </c>
      <c r="U17" s="125">
        <v>0</v>
      </c>
      <c r="V17" s="126">
        <v>9.0909090909090912E-2</v>
      </c>
    </row>
    <row r="18" spans="1:30" s="34" customFormat="1">
      <c r="A18" s="102" t="s">
        <v>261</v>
      </c>
      <c r="B18" s="106" t="s">
        <v>268</v>
      </c>
      <c r="C18" s="106" t="s">
        <v>269</v>
      </c>
      <c r="D18" s="106" t="s">
        <v>270</v>
      </c>
      <c r="E18" s="106" t="s">
        <v>271</v>
      </c>
      <c r="F18" s="106" t="s">
        <v>272</v>
      </c>
      <c r="G18" s="85"/>
      <c r="H18" s="85"/>
      <c r="I18" s="85"/>
      <c r="J18" s="148" t="s">
        <v>262</v>
      </c>
      <c r="K18" s="106" t="s">
        <v>268</v>
      </c>
      <c r="L18" s="106" t="s">
        <v>269</v>
      </c>
      <c r="M18" s="106" t="s">
        <v>270</v>
      </c>
      <c r="N18" s="106" t="s">
        <v>271</v>
      </c>
      <c r="O18" s="106" t="s">
        <v>272</v>
      </c>
      <c r="P18" s="141"/>
      <c r="Q18" s="174" t="s">
        <v>208</v>
      </c>
      <c r="R18" s="124">
        <v>0</v>
      </c>
      <c r="S18" s="125">
        <v>0</v>
      </c>
      <c r="T18" s="125">
        <v>8.3333333333333329E-2</v>
      </c>
      <c r="U18" s="125">
        <v>1</v>
      </c>
      <c r="V18" s="126">
        <v>8.3333333333333329E-2</v>
      </c>
      <c r="W18" s="141"/>
      <c r="X18" s="141"/>
      <c r="Y18" s="141"/>
      <c r="Z18" s="141"/>
      <c r="AA18" s="141"/>
      <c r="AB18" s="141"/>
      <c r="AC18" s="141"/>
      <c r="AD18" s="141"/>
    </row>
    <row r="19" spans="1:30">
      <c r="A19" s="104" t="s">
        <v>206</v>
      </c>
      <c r="B19" s="103">
        <f t="shared" ref="B19:F22" si="7">(B4-B$8)/(B$9-B$8)</f>
        <v>0.90909090909090906</v>
      </c>
      <c r="C19" s="103">
        <f t="shared" si="7"/>
        <v>1</v>
      </c>
      <c r="D19" s="103">
        <f t="shared" si="7"/>
        <v>1</v>
      </c>
      <c r="E19" s="103">
        <f t="shared" si="7"/>
        <v>0.58333333333333337</v>
      </c>
      <c r="F19" s="103">
        <f t="shared" si="7"/>
        <v>1</v>
      </c>
      <c r="G19" s="29"/>
      <c r="H19" s="29"/>
      <c r="I19" s="29"/>
      <c r="J19" s="104" t="s">
        <v>206</v>
      </c>
      <c r="K19" s="103">
        <f t="shared" ref="K19:O22" si="8">B19*2-1</f>
        <v>0.81818181818181812</v>
      </c>
      <c r="L19" s="103">
        <f t="shared" si="8"/>
        <v>1</v>
      </c>
      <c r="M19" s="103">
        <f t="shared" si="8"/>
        <v>1</v>
      </c>
      <c r="N19" s="103">
        <f t="shared" si="8"/>
        <v>0.16666666666666674</v>
      </c>
      <c r="O19" s="103">
        <f t="shared" si="8"/>
        <v>1</v>
      </c>
      <c r="Q19" s="175" t="s">
        <v>209</v>
      </c>
      <c r="R19" s="132">
        <v>0</v>
      </c>
      <c r="S19" s="133">
        <v>0.33333333333333331</v>
      </c>
      <c r="T19" s="133">
        <v>0.66666666666666663</v>
      </c>
      <c r="U19" s="133">
        <v>1</v>
      </c>
      <c r="V19" s="134">
        <v>1</v>
      </c>
    </row>
    <row r="20" spans="1:30">
      <c r="A20" s="104" t="s">
        <v>207</v>
      </c>
      <c r="B20" s="103">
        <f t="shared" si="7"/>
        <v>1</v>
      </c>
      <c r="C20" s="103">
        <f t="shared" si="7"/>
        <v>0.36842105263157893</v>
      </c>
      <c r="D20" s="103">
        <f t="shared" si="7"/>
        <v>0.69230769230769229</v>
      </c>
      <c r="E20" s="103">
        <f t="shared" si="7"/>
        <v>0</v>
      </c>
      <c r="F20" s="103">
        <f t="shared" si="7"/>
        <v>0</v>
      </c>
      <c r="G20" s="29"/>
      <c r="H20" s="29"/>
      <c r="I20" s="29"/>
      <c r="J20" s="104" t="s">
        <v>207</v>
      </c>
      <c r="K20" s="103">
        <f t="shared" si="8"/>
        <v>1</v>
      </c>
      <c r="L20" s="103">
        <f t="shared" si="8"/>
        <v>-0.26315789473684215</v>
      </c>
      <c r="M20" s="103">
        <f t="shared" si="8"/>
        <v>0.38461538461538458</v>
      </c>
      <c r="N20" s="103">
        <f t="shared" si="8"/>
        <v>-1</v>
      </c>
      <c r="O20" s="103">
        <f t="shared" si="8"/>
        <v>-1</v>
      </c>
    </row>
    <row r="21" spans="1:30">
      <c r="A21" s="104" t="s">
        <v>208</v>
      </c>
      <c r="B21" s="103">
        <f t="shared" si="7"/>
        <v>0</v>
      </c>
      <c r="C21" s="103">
        <f t="shared" si="7"/>
        <v>0</v>
      </c>
      <c r="D21" s="103">
        <f t="shared" si="7"/>
        <v>0</v>
      </c>
      <c r="E21" s="103">
        <f t="shared" si="7"/>
        <v>1</v>
      </c>
      <c r="F21" s="103">
        <f t="shared" si="7"/>
        <v>0</v>
      </c>
      <c r="G21" s="29"/>
      <c r="H21" s="29"/>
      <c r="I21" s="29"/>
      <c r="J21" s="104" t="s">
        <v>208</v>
      </c>
      <c r="K21" s="103">
        <f t="shared" si="8"/>
        <v>-1</v>
      </c>
      <c r="L21" s="103">
        <f t="shared" si="8"/>
        <v>-1</v>
      </c>
      <c r="M21" s="103">
        <f t="shared" si="8"/>
        <v>-1</v>
      </c>
      <c r="N21" s="103">
        <f t="shared" si="8"/>
        <v>1</v>
      </c>
      <c r="O21" s="103">
        <f t="shared" si="8"/>
        <v>-1</v>
      </c>
      <c r="Q21" s="171" t="s">
        <v>462</v>
      </c>
      <c r="R21" s="172" t="s">
        <v>268</v>
      </c>
      <c r="S21" s="172" t="s">
        <v>269</v>
      </c>
      <c r="T21" s="172" t="s">
        <v>270</v>
      </c>
      <c r="U21" s="172" t="s">
        <v>271</v>
      </c>
      <c r="V21" s="173" t="s">
        <v>272</v>
      </c>
      <c r="X21" s="41" t="s">
        <v>564</v>
      </c>
      <c r="Y21" s="172" t="s">
        <v>268</v>
      </c>
      <c r="Z21" s="172" t="s">
        <v>269</v>
      </c>
      <c r="AA21" s="172" t="s">
        <v>270</v>
      </c>
      <c r="AB21" s="172" t="s">
        <v>271</v>
      </c>
      <c r="AC21" s="173" t="s">
        <v>272</v>
      </c>
    </row>
    <row r="22" spans="1:30">
      <c r="A22" s="104" t="s">
        <v>209</v>
      </c>
      <c r="B22" s="103">
        <f t="shared" si="7"/>
        <v>0</v>
      </c>
      <c r="C22" s="103">
        <f t="shared" si="7"/>
        <v>5.2631578947368418E-2</v>
      </c>
      <c r="D22" s="103">
        <f t="shared" si="7"/>
        <v>7.6923076923076927E-2</v>
      </c>
      <c r="E22" s="103">
        <f t="shared" si="7"/>
        <v>0.25</v>
      </c>
      <c r="F22" s="103">
        <f t="shared" si="7"/>
        <v>0.18181818181818182</v>
      </c>
      <c r="G22" s="29"/>
      <c r="H22" s="29"/>
      <c r="I22" s="29"/>
      <c r="J22" s="104" t="s">
        <v>209</v>
      </c>
      <c r="K22" s="103">
        <f t="shared" si="8"/>
        <v>-1</v>
      </c>
      <c r="L22" s="103">
        <f t="shared" si="8"/>
        <v>-0.89473684210526316</v>
      </c>
      <c r="M22" s="103">
        <f t="shared" si="8"/>
        <v>-0.84615384615384615</v>
      </c>
      <c r="N22" s="103">
        <f t="shared" si="8"/>
        <v>-0.5</v>
      </c>
      <c r="O22" s="103">
        <f t="shared" si="8"/>
        <v>-0.63636363636363635</v>
      </c>
      <c r="Q22" s="174" t="s">
        <v>206</v>
      </c>
      <c r="R22" s="119">
        <v>0.25</v>
      </c>
      <c r="S22" s="120">
        <v>1</v>
      </c>
      <c r="T22" s="120">
        <v>0.58333333333333337</v>
      </c>
      <c r="U22" s="120">
        <v>0</v>
      </c>
      <c r="V22" s="121">
        <v>0.41666666666666669</v>
      </c>
      <c r="X22" s="174" t="s">
        <v>206</v>
      </c>
      <c r="Y22" s="119">
        <v>-0.5</v>
      </c>
      <c r="Z22" s="120">
        <v>1</v>
      </c>
      <c r="AA22" s="120">
        <v>0.16666666666666674</v>
      </c>
      <c r="AB22" s="120">
        <v>-1</v>
      </c>
      <c r="AC22" s="121">
        <v>-0.16666666666666663</v>
      </c>
    </row>
    <row r="23" spans="1:30">
      <c r="A23" s="104"/>
      <c r="B23" s="105"/>
      <c r="C23" s="105"/>
      <c r="D23" s="105"/>
      <c r="E23" s="105"/>
      <c r="F23" s="105"/>
      <c r="G23" s="29"/>
      <c r="H23" s="29"/>
      <c r="I23" s="29"/>
      <c r="J23" s="104"/>
      <c r="K23" s="105"/>
      <c r="L23" s="105"/>
      <c r="M23" s="105"/>
      <c r="N23" s="105"/>
      <c r="O23" s="105"/>
      <c r="Q23" s="174" t="s">
        <v>207</v>
      </c>
      <c r="R23" s="124">
        <v>1</v>
      </c>
      <c r="S23" s="125">
        <v>0.63636363636363635</v>
      </c>
      <c r="T23" s="125">
        <v>0.90909090909090906</v>
      </c>
      <c r="U23" s="125">
        <v>0</v>
      </c>
      <c r="V23" s="126">
        <v>9.0909090909090912E-2</v>
      </c>
      <c r="X23" s="174" t="s">
        <v>207</v>
      </c>
      <c r="Y23" s="124">
        <v>1</v>
      </c>
      <c r="Z23" s="125">
        <v>0.27272727272727271</v>
      </c>
      <c r="AA23" s="125">
        <v>0.81818181818181812</v>
      </c>
      <c r="AB23" s="125">
        <v>-1</v>
      </c>
      <c r="AC23" s="126">
        <v>-0.81818181818181812</v>
      </c>
    </row>
    <row r="24" spans="1:30" s="34" customFormat="1">
      <c r="A24" s="102" t="s">
        <v>247</v>
      </c>
      <c r="B24" s="106" t="s">
        <v>268</v>
      </c>
      <c r="C24" s="106" t="s">
        <v>269</v>
      </c>
      <c r="D24" s="106" t="s">
        <v>270</v>
      </c>
      <c r="E24" s="106" t="s">
        <v>271</v>
      </c>
      <c r="F24" s="106" t="s">
        <v>272</v>
      </c>
      <c r="G24" s="85"/>
      <c r="H24" s="85"/>
      <c r="I24" s="85"/>
      <c r="J24" s="148" t="s">
        <v>248</v>
      </c>
      <c r="K24" s="106" t="s">
        <v>268</v>
      </c>
      <c r="L24" s="106" t="s">
        <v>269</v>
      </c>
      <c r="M24" s="106" t="s">
        <v>270</v>
      </c>
      <c r="N24" s="106" t="s">
        <v>271</v>
      </c>
      <c r="O24" s="106" t="s">
        <v>272</v>
      </c>
      <c r="P24" s="141"/>
      <c r="Q24" s="174" t="s">
        <v>208</v>
      </c>
      <c r="R24" s="124">
        <v>0</v>
      </c>
      <c r="S24" s="125">
        <v>0</v>
      </c>
      <c r="T24" s="125">
        <v>8.3333333333333329E-2</v>
      </c>
      <c r="U24" s="125">
        <v>1</v>
      </c>
      <c r="V24" s="126">
        <v>8.3333333333333329E-2</v>
      </c>
      <c r="W24" s="141"/>
      <c r="X24" s="174" t="s">
        <v>208</v>
      </c>
      <c r="Y24" s="124">
        <v>-1</v>
      </c>
      <c r="Z24" s="125">
        <v>-1</v>
      </c>
      <c r="AA24" s="125">
        <v>-0.83333333333333337</v>
      </c>
      <c r="AB24" s="125">
        <v>1</v>
      </c>
      <c r="AC24" s="126">
        <v>-0.83333333333333337</v>
      </c>
      <c r="AD24" s="141"/>
    </row>
    <row r="25" spans="1:30">
      <c r="A25" s="104" t="s">
        <v>206</v>
      </c>
      <c r="B25" s="103">
        <f>(2*B4-$G4 -B$8)/($H4+B$9-$G4- B$8)</f>
        <v>0.56521739130434778</v>
      </c>
      <c r="C25" s="103">
        <f>(2*C4-$G4 -C$8)/($H4+C$9-$G4- C$8)</f>
        <v>1</v>
      </c>
      <c r="D25" s="103">
        <f>(2*D4-$G4 -D$8)/($H4+D$9-$G4- D$8)</f>
        <v>0.8</v>
      </c>
      <c r="E25" s="103">
        <f>(2*E4-$G4 -E$8)/($H4+E$9-$G4- E$8)</f>
        <v>0.29166666666666669</v>
      </c>
      <c r="F25" s="103">
        <f>(2*F4-$G4 -F$8)/($H4+F$9-$G4- F$8)</f>
        <v>0.69565217391304346</v>
      </c>
      <c r="G25" s="29"/>
      <c r="H25" s="29"/>
      <c r="I25" s="29"/>
      <c r="J25" s="104" t="s">
        <v>206</v>
      </c>
      <c r="K25" s="103">
        <f t="shared" ref="K25:K28" si="9">B25*2-1</f>
        <v>0.13043478260869557</v>
      </c>
      <c r="L25" s="103">
        <f t="shared" ref="L25:L28" si="10">C25*2-1</f>
        <v>1</v>
      </c>
      <c r="M25" s="103">
        <f t="shared" ref="M25:M28" si="11">D25*2-1</f>
        <v>0.60000000000000009</v>
      </c>
      <c r="N25" s="103">
        <f t="shared" ref="N25:N28" si="12">E25*2-1</f>
        <v>-0.41666666666666663</v>
      </c>
      <c r="O25" s="103">
        <f t="shared" ref="O25:O28" si="13">F25*2-1</f>
        <v>0.39130434782608692</v>
      </c>
      <c r="Q25" s="175" t="s">
        <v>209</v>
      </c>
      <c r="R25" s="132">
        <v>0</v>
      </c>
      <c r="S25" s="133">
        <v>0.33333333333333331</v>
      </c>
      <c r="T25" s="133">
        <v>0.66666666666666663</v>
      </c>
      <c r="U25" s="133">
        <v>1</v>
      </c>
      <c r="V25" s="134">
        <v>1</v>
      </c>
      <c r="X25" s="175" t="s">
        <v>209</v>
      </c>
      <c r="Y25" s="132">
        <v>-1</v>
      </c>
      <c r="Z25" s="133">
        <v>-0.33333333333333337</v>
      </c>
      <c r="AA25" s="133">
        <v>0.33333333333333326</v>
      </c>
      <c r="AB25" s="133">
        <v>1</v>
      </c>
      <c r="AC25" s="134">
        <v>1</v>
      </c>
    </row>
    <row r="26" spans="1:30">
      <c r="A26" s="104" t="s">
        <v>207</v>
      </c>
      <c r="B26" s="103">
        <f>(2*B5-$G5-B$8)/($H5+B$9-$G5-B$8)</f>
        <v>1</v>
      </c>
      <c r="C26" s="103">
        <f t="shared" ref="C26:F28" si="14">(2*C5-$G5 -C$8)/($H5+C$9-$G5- C$8)</f>
        <v>0.46666666666666667</v>
      </c>
      <c r="D26" s="103">
        <f t="shared" si="14"/>
        <v>0.79166666666666663</v>
      </c>
      <c r="E26" s="103">
        <f t="shared" si="14"/>
        <v>0</v>
      </c>
      <c r="F26" s="103">
        <f t="shared" si="14"/>
        <v>4.5454545454545456E-2</v>
      </c>
      <c r="G26" s="29"/>
      <c r="H26" s="29"/>
      <c r="I26" s="29"/>
      <c r="J26" s="104" t="s">
        <v>207</v>
      </c>
      <c r="K26" s="103">
        <f t="shared" si="9"/>
        <v>1</v>
      </c>
      <c r="L26" s="103">
        <f t="shared" si="10"/>
        <v>-6.6666666666666652E-2</v>
      </c>
      <c r="M26" s="103">
        <f t="shared" si="11"/>
        <v>0.58333333333333326</v>
      </c>
      <c r="N26" s="103">
        <f t="shared" si="12"/>
        <v>-1</v>
      </c>
      <c r="O26" s="103">
        <f t="shared" si="13"/>
        <v>-0.90909090909090906</v>
      </c>
    </row>
    <row r="27" spans="1:30">
      <c r="A27" s="104" t="s">
        <v>208</v>
      </c>
      <c r="B27" s="103">
        <f>(2*B6-$G6 -B$8)/($H6+B$9-$G6- B$8)</f>
        <v>0</v>
      </c>
      <c r="C27" s="103">
        <f t="shared" si="14"/>
        <v>0</v>
      </c>
      <c r="D27" s="103">
        <f t="shared" si="14"/>
        <v>0.04</v>
      </c>
      <c r="E27" s="103">
        <f t="shared" si="14"/>
        <v>1</v>
      </c>
      <c r="F27" s="103">
        <f t="shared" si="14"/>
        <v>4.3478260869565216E-2</v>
      </c>
      <c r="G27" s="29"/>
      <c r="H27" s="29"/>
      <c r="I27" s="29"/>
      <c r="J27" s="104" t="s">
        <v>208</v>
      </c>
      <c r="K27" s="103">
        <f t="shared" si="9"/>
        <v>-1</v>
      </c>
      <c r="L27" s="103">
        <f t="shared" si="10"/>
        <v>-1</v>
      </c>
      <c r="M27" s="103">
        <f t="shared" si="11"/>
        <v>-0.92</v>
      </c>
      <c r="N27" s="103">
        <f t="shared" si="12"/>
        <v>1</v>
      </c>
      <c r="O27" s="103">
        <f t="shared" si="13"/>
        <v>-0.91304347826086962</v>
      </c>
    </row>
    <row r="28" spans="1:30">
      <c r="A28" s="104" t="s">
        <v>209</v>
      </c>
      <c r="B28" s="103">
        <f>(2*B7-$G7 -B$8)/($H7+B$9-$G7- B$8)</f>
        <v>0</v>
      </c>
      <c r="C28" s="103">
        <f t="shared" si="14"/>
        <v>9.0909090909090912E-2</v>
      </c>
      <c r="D28" s="103">
        <f t="shared" si="14"/>
        <v>0.1875</v>
      </c>
      <c r="E28" s="103">
        <f t="shared" si="14"/>
        <v>0.4</v>
      </c>
      <c r="F28" s="103">
        <f t="shared" si="14"/>
        <v>0.35714285714285715</v>
      </c>
      <c r="G28" s="29"/>
      <c r="H28" s="29"/>
      <c r="I28" s="29"/>
      <c r="J28" s="104" t="s">
        <v>209</v>
      </c>
      <c r="K28" s="103">
        <f t="shared" si="9"/>
        <v>-1</v>
      </c>
      <c r="L28" s="103">
        <f t="shared" si="10"/>
        <v>-0.81818181818181812</v>
      </c>
      <c r="M28" s="103">
        <f t="shared" si="11"/>
        <v>-0.625</v>
      </c>
      <c r="N28" s="103">
        <f t="shared" si="12"/>
        <v>-0.19999999999999996</v>
      </c>
      <c r="O28" s="103">
        <f t="shared" si="13"/>
        <v>-0.2857142857142857</v>
      </c>
    </row>
    <row r="29" spans="1:30">
      <c r="A29" s="104"/>
      <c r="B29" s="105"/>
      <c r="C29" s="105"/>
      <c r="D29" s="105"/>
      <c r="E29" s="105"/>
      <c r="F29" s="105"/>
      <c r="G29" s="29"/>
      <c r="H29" s="29"/>
      <c r="I29" s="29"/>
      <c r="J29" s="104"/>
      <c r="K29" s="105"/>
      <c r="L29" s="105"/>
      <c r="M29" s="105"/>
      <c r="N29" s="105"/>
      <c r="O29" s="105"/>
    </row>
    <row r="30" spans="1:30" s="34" customFormat="1">
      <c r="A30" s="102" t="s">
        <v>233</v>
      </c>
      <c r="B30" s="106" t="s">
        <v>268</v>
      </c>
      <c r="C30" s="106" t="s">
        <v>269</v>
      </c>
      <c r="D30" s="106" t="s">
        <v>270</v>
      </c>
      <c r="E30" s="106" t="s">
        <v>271</v>
      </c>
      <c r="F30" s="106" t="s">
        <v>272</v>
      </c>
      <c r="G30" s="101"/>
      <c r="H30" s="85"/>
      <c r="I30" s="85"/>
      <c r="J30" s="148" t="s">
        <v>234</v>
      </c>
      <c r="K30" s="106" t="s">
        <v>268</v>
      </c>
      <c r="L30" s="106" t="s">
        <v>269</v>
      </c>
      <c r="M30" s="106" t="s">
        <v>270</v>
      </c>
      <c r="N30" s="106" t="s">
        <v>271</v>
      </c>
      <c r="O30" s="106" t="s">
        <v>272</v>
      </c>
      <c r="P30" s="141"/>
      <c r="Q30" s="83"/>
      <c r="R30" s="83"/>
      <c r="S30" s="83"/>
      <c r="T30" s="83"/>
      <c r="U30" s="83"/>
      <c r="V30" s="83"/>
      <c r="W30" s="141"/>
      <c r="X30" s="141"/>
      <c r="Y30" s="141"/>
      <c r="Z30" s="141"/>
      <c r="AA30" s="141"/>
      <c r="AB30" s="141"/>
      <c r="AC30" s="141"/>
      <c r="AD30" s="141"/>
    </row>
    <row r="31" spans="1:30">
      <c r="A31" s="104" t="s">
        <v>206</v>
      </c>
      <c r="B31" s="103">
        <f t="shared" ref="B31:F34" si="15">(B4-$G$8)/($H$9-$G$8)</f>
        <v>0.52631578947368418</v>
      </c>
      <c r="C31" s="103">
        <f t="shared" si="15"/>
        <v>1</v>
      </c>
      <c r="D31" s="103">
        <f t="shared" si="15"/>
        <v>0.73684210526315785</v>
      </c>
      <c r="E31" s="103">
        <f t="shared" si="15"/>
        <v>0.36842105263157893</v>
      </c>
      <c r="F31" s="103">
        <f t="shared" si="15"/>
        <v>0.63157894736842102</v>
      </c>
      <c r="G31" s="29"/>
      <c r="H31" s="29"/>
      <c r="I31" s="29"/>
      <c r="J31" s="104" t="s">
        <v>206</v>
      </c>
      <c r="K31" s="103">
        <f t="shared" ref="K31:O34" si="16">B31*2-1</f>
        <v>5.2631578947368363E-2</v>
      </c>
      <c r="L31" s="103">
        <f t="shared" si="16"/>
        <v>1</v>
      </c>
      <c r="M31" s="103">
        <f t="shared" si="16"/>
        <v>0.47368421052631571</v>
      </c>
      <c r="N31" s="103">
        <f t="shared" si="16"/>
        <v>-0.26315789473684215</v>
      </c>
      <c r="O31" s="103">
        <f t="shared" si="16"/>
        <v>0.26315789473684204</v>
      </c>
    </row>
    <row r="32" spans="1:30">
      <c r="A32" s="104" t="s">
        <v>207</v>
      </c>
      <c r="B32" s="103">
        <f t="shared" si="15"/>
        <v>0.57894736842105265</v>
      </c>
      <c r="C32" s="103">
        <f t="shared" si="15"/>
        <v>0.36842105263157893</v>
      </c>
      <c r="D32" s="103">
        <f t="shared" si="15"/>
        <v>0.52631578947368418</v>
      </c>
      <c r="E32" s="103">
        <f t="shared" si="15"/>
        <v>0</v>
      </c>
      <c r="F32" s="103">
        <f t="shared" si="15"/>
        <v>5.2631578947368418E-2</v>
      </c>
      <c r="G32" s="29"/>
      <c r="H32" s="29"/>
      <c r="I32" s="29"/>
      <c r="J32" s="104" t="s">
        <v>207</v>
      </c>
      <c r="K32" s="103">
        <f t="shared" si="16"/>
        <v>0.15789473684210531</v>
      </c>
      <c r="L32" s="103">
        <f t="shared" si="16"/>
        <v>-0.26315789473684215</v>
      </c>
      <c r="M32" s="103">
        <f t="shared" si="16"/>
        <v>5.2631578947368363E-2</v>
      </c>
      <c r="N32" s="103">
        <f t="shared" si="16"/>
        <v>-1</v>
      </c>
      <c r="O32" s="103">
        <f t="shared" si="16"/>
        <v>-0.89473684210526316</v>
      </c>
    </row>
    <row r="33" spans="1:15">
      <c r="A33" s="104" t="s">
        <v>208</v>
      </c>
      <c r="B33" s="103">
        <f t="shared" si="15"/>
        <v>0</v>
      </c>
      <c r="C33" s="103">
        <f t="shared" si="15"/>
        <v>0</v>
      </c>
      <c r="D33" s="103">
        <f t="shared" si="15"/>
        <v>5.2631578947368418E-2</v>
      </c>
      <c r="E33" s="103">
        <f t="shared" si="15"/>
        <v>0.63157894736842102</v>
      </c>
      <c r="F33" s="103">
        <f t="shared" si="15"/>
        <v>5.2631578947368418E-2</v>
      </c>
      <c r="G33" s="29"/>
      <c r="H33" s="29"/>
      <c r="I33" s="29"/>
      <c r="J33" s="104" t="s">
        <v>208</v>
      </c>
      <c r="K33" s="103">
        <f t="shared" si="16"/>
        <v>-1</v>
      </c>
      <c r="L33" s="103">
        <f t="shared" si="16"/>
        <v>-1</v>
      </c>
      <c r="M33" s="103">
        <f t="shared" si="16"/>
        <v>-0.89473684210526316</v>
      </c>
      <c r="N33" s="103">
        <f t="shared" si="16"/>
        <v>0.26315789473684204</v>
      </c>
      <c r="O33" s="103">
        <f t="shared" si="16"/>
        <v>-0.89473684210526316</v>
      </c>
    </row>
    <row r="34" spans="1:15">
      <c r="A34" s="104" t="s">
        <v>209</v>
      </c>
      <c r="B34" s="103">
        <f t="shared" si="15"/>
        <v>0</v>
      </c>
      <c r="C34" s="103">
        <f t="shared" si="15"/>
        <v>5.2631578947368418E-2</v>
      </c>
      <c r="D34" s="103">
        <f t="shared" si="15"/>
        <v>0.10526315789473684</v>
      </c>
      <c r="E34" s="103">
        <f t="shared" si="15"/>
        <v>0.15789473684210525</v>
      </c>
      <c r="F34" s="103">
        <f t="shared" si="15"/>
        <v>0.15789473684210525</v>
      </c>
      <c r="G34" s="29"/>
      <c r="H34" s="29"/>
      <c r="I34" s="29"/>
      <c r="J34" s="104" t="s">
        <v>209</v>
      </c>
      <c r="K34" s="103">
        <f t="shared" si="16"/>
        <v>-1</v>
      </c>
      <c r="L34" s="103">
        <f t="shared" si="16"/>
        <v>-0.89473684210526316</v>
      </c>
      <c r="M34" s="103">
        <f t="shared" si="16"/>
        <v>-0.78947368421052633</v>
      </c>
      <c r="N34" s="103">
        <f t="shared" si="16"/>
        <v>-0.68421052631578949</v>
      </c>
      <c r="O34" s="103">
        <f t="shared" si="16"/>
        <v>-0.68421052631578949</v>
      </c>
    </row>
    <row r="35" spans="1:15">
      <c r="A35" s="104"/>
      <c r="B35" s="105"/>
      <c r="C35" s="105"/>
      <c r="D35" s="105"/>
      <c r="E35" s="105"/>
      <c r="F35" s="105"/>
      <c r="G35" s="29"/>
      <c r="H35" s="29"/>
      <c r="I35" s="29"/>
      <c r="J35" s="104"/>
      <c r="K35" s="105"/>
      <c r="L35" s="105"/>
      <c r="M35" s="105"/>
      <c r="N35" s="105"/>
      <c r="O35" s="105"/>
    </row>
  </sheetData>
  <phoneticPr fontId="2"/>
  <conditionalFormatting sqref="B1:F2">
    <cfRule type="dataBar" priority="75">
      <dataBar>
        <cfvo type="min"/>
        <cfvo type="num" val="1"/>
        <color theme="4" tint="0.79998168889431442"/>
      </dataBar>
      <extLst>
        <ext xmlns:x14="http://schemas.microsoft.com/office/spreadsheetml/2009/9/main" uri="{B025F937-C7B1-47D3-B67F-A62EFF666E3E}">
          <x14:id>{CFAEA68B-0327-4243-BFBF-6E249952C67E}</x14:id>
        </ext>
      </extLst>
    </cfRule>
    <cfRule type="dataBar" priority="7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{22540A41-584F-4C40-8AA3-278E0BE1C9AF}</x14:id>
        </ext>
      </extLst>
    </cfRule>
  </conditionalFormatting>
  <conditionalFormatting sqref="B1:F2">
    <cfRule type="dataBar" priority="7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{B51BBF2A-98B6-4897-82B0-8DD705E1D9FB}</x14:id>
        </ext>
      </extLst>
    </cfRule>
  </conditionalFormatting>
  <conditionalFormatting sqref="G30">
    <cfRule type="dataBar" priority="6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{C7DDF83B-E92F-4243-9128-F539387161D3}</x14:id>
        </ext>
      </extLst>
    </cfRule>
  </conditionalFormatting>
  <conditionalFormatting sqref="G30">
    <cfRule type="dataBar" priority="6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{A035459F-2288-42B1-AAC5-579CD0EDB05A}</x14:id>
        </ext>
      </extLst>
    </cfRule>
  </conditionalFormatting>
  <conditionalFormatting sqref="K24:O24">
    <cfRule type="dataBar" priority="3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{966CF0B6-16AD-4C37-9A1A-B4ECF1680C5B}</x14:id>
        </ext>
      </extLst>
    </cfRule>
  </conditionalFormatting>
  <conditionalFormatting sqref="K24:O24">
    <cfRule type="dataBar" priority="3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{3D980CC2-14D2-4F66-9A7F-C0210299E19E}</x14:id>
        </ext>
      </extLst>
    </cfRule>
  </conditionalFormatting>
  <conditionalFormatting sqref="B24:F24">
    <cfRule type="dataBar" priority="3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{051666FC-7387-436C-8234-BD249F90E6B6}</x14:id>
        </ext>
      </extLst>
    </cfRule>
  </conditionalFormatting>
  <conditionalFormatting sqref="B24:F24">
    <cfRule type="dataBar" priority="3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{23B17665-D621-49AF-936B-1CB3C1570432}</x14:id>
        </ext>
      </extLst>
    </cfRule>
  </conditionalFormatting>
  <conditionalFormatting sqref="K35:O35 K17:O18 K23:O23 K29:O30">
    <cfRule type="dataBar" priority="164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{4F55F066-4BC5-4F67-8A32-DA896A35E335}</x14:id>
        </ext>
      </extLst>
    </cfRule>
  </conditionalFormatting>
  <conditionalFormatting sqref="K35:O35 K17:O18 K23:O23 K29:O30">
    <cfRule type="dataBar" priority="164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{F0105FD0-F205-4ED4-A4B9-FBF2625A2D5F}</x14:id>
        </ext>
      </extLst>
    </cfRule>
  </conditionalFormatting>
  <conditionalFormatting sqref="A17">
    <cfRule type="dataBar" priority="166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{6A870865-3163-4DE8-9BC3-48FCF56E430B}</x14:id>
        </ext>
      </extLst>
    </cfRule>
  </conditionalFormatting>
  <conditionalFormatting sqref="J17">
    <cfRule type="dataBar" priority="166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{DE444397-7554-44F7-934E-8AEAC4436380}</x14:id>
        </ext>
      </extLst>
    </cfRule>
  </conditionalFormatting>
  <conditionalFormatting sqref="B13:F23 B29:F35">
    <cfRule type="dataBar" priority="167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{02822FD9-C253-4784-991D-153A63A16183}</x14:id>
        </ext>
      </extLst>
    </cfRule>
  </conditionalFormatting>
  <conditionalFormatting sqref="B13:F23 B29:F35">
    <cfRule type="dataBar" priority="167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{4FF6D37C-82C4-42AC-81C5-BD058AE77C93}</x14:id>
        </ext>
      </extLst>
    </cfRule>
  </conditionalFormatting>
  <conditionalFormatting sqref="B25:F28">
    <cfRule type="dataBar" priority="1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{BB29E6BE-942C-4DCC-AB86-18B2B3B9E57F}</x14:id>
        </ext>
      </extLst>
    </cfRule>
  </conditionalFormatting>
  <conditionalFormatting sqref="B25:F28">
    <cfRule type="dataBar" priority="1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{7378C528-AEA1-4EFF-817D-0113552774E1}</x14:id>
        </ext>
      </extLst>
    </cfRule>
  </conditionalFormatting>
  <conditionalFormatting sqref="K13:O16">
    <cfRule type="dataBar" priority="1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{D85BDA27-3ABF-4CA4-B517-562245DC4759}</x14:id>
        </ext>
      </extLst>
    </cfRule>
  </conditionalFormatting>
  <conditionalFormatting sqref="K13:O16">
    <cfRule type="dataBar" priority="1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{AB6CEA6E-AF31-4F01-B024-FBDD50F83D5C}</x14:id>
        </ext>
      </extLst>
    </cfRule>
  </conditionalFormatting>
  <conditionalFormatting sqref="K19:O22">
    <cfRule type="dataBar" priority="1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{8AE7BBFE-510B-4D5E-89FE-862BEBD7CD4C}</x14:id>
        </ext>
      </extLst>
    </cfRule>
  </conditionalFormatting>
  <conditionalFormatting sqref="K19:O22">
    <cfRule type="dataBar" priority="1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{0AA20D04-23E8-450B-BCBC-010A7D5C1EA6}</x14:id>
        </ext>
      </extLst>
    </cfRule>
  </conditionalFormatting>
  <conditionalFormatting sqref="K31:O34">
    <cfRule type="dataBar" priority="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{ED830925-DEAC-4183-9604-4059BC81EA26}</x14:id>
        </ext>
      </extLst>
    </cfRule>
  </conditionalFormatting>
  <conditionalFormatting sqref="K31:O34">
    <cfRule type="dataBar" priority="1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{75E95D5C-6CD5-4C5F-AF54-B84FC4C10760}</x14:id>
        </ext>
      </extLst>
    </cfRule>
  </conditionalFormatting>
  <conditionalFormatting sqref="K25:O28">
    <cfRule type="dataBar" priority="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{41FE3986-D287-46B5-A746-281294420C3E}</x14:id>
        </ext>
      </extLst>
    </cfRule>
  </conditionalFormatting>
  <conditionalFormatting sqref="K25:O28">
    <cfRule type="dataBar" priority="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{19A36502-3D0D-4C54-8E0C-F4E49CB56C22}</x14:id>
        </ext>
      </extLst>
    </cfRule>
  </conditionalFormatting>
  <conditionalFormatting sqref="B4:F7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{44107E5B-AC84-44AA-8A40-B6CF4F2F9FEC}</x14:id>
        </ext>
      </extLst>
    </cfRule>
  </conditionalFormatting>
  <conditionalFormatting sqref="B4:F7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{4D8113FA-FFB5-4165-953A-D8BEA9441B18}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AEA68B-0327-4243-BFBF-6E249952C67E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2540A41-584F-4C40-8AA3-278E0BE1C9A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B51BBF2A-98B6-4897-82B0-8DD705E1D9F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B1:F2</xm:sqref>
        </x14:conditionalFormatting>
        <x14:conditionalFormatting xmlns:xm="http://schemas.microsoft.com/office/excel/2006/main">
          <x14:cfRule type="dataBar" id="{C7DDF83B-E92F-4243-9128-F539387161D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G30</xm:sqref>
        </x14:conditionalFormatting>
        <x14:conditionalFormatting xmlns:xm="http://schemas.microsoft.com/office/excel/2006/main">
          <x14:cfRule type="dataBar" id="{A035459F-2288-42B1-AAC5-579CD0EDB05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G30</xm:sqref>
        </x14:conditionalFormatting>
        <x14:conditionalFormatting xmlns:xm="http://schemas.microsoft.com/office/excel/2006/main">
          <x14:cfRule type="dataBar" id="{966CF0B6-16AD-4C37-9A1A-B4ECF1680C5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K24:O24</xm:sqref>
        </x14:conditionalFormatting>
        <x14:conditionalFormatting xmlns:xm="http://schemas.microsoft.com/office/excel/2006/main">
          <x14:cfRule type="dataBar" id="{3D980CC2-14D2-4F66-9A7F-C0210299E1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K24:O24</xm:sqref>
        </x14:conditionalFormatting>
        <x14:conditionalFormatting xmlns:xm="http://schemas.microsoft.com/office/excel/2006/main">
          <x14:cfRule type="dataBar" id="{051666FC-7387-436C-8234-BD249F90E6B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B24:F24</xm:sqref>
        </x14:conditionalFormatting>
        <x14:conditionalFormatting xmlns:xm="http://schemas.microsoft.com/office/excel/2006/main">
          <x14:cfRule type="dataBar" id="{23B17665-D621-49AF-936B-1CB3C15704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B24:F24</xm:sqref>
        </x14:conditionalFormatting>
        <x14:conditionalFormatting xmlns:xm="http://schemas.microsoft.com/office/excel/2006/main">
          <x14:cfRule type="dataBar" id="{4F55F066-4BC5-4F67-8A32-DA896A35E33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K35:O35 K17:O18 K23:O23 K29:O30</xm:sqref>
        </x14:conditionalFormatting>
        <x14:conditionalFormatting xmlns:xm="http://schemas.microsoft.com/office/excel/2006/main">
          <x14:cfRule type="dataBar" id="{F0105FD0-F205-4ED4-A4B9-FBF2625A2D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K35:O35 K17:O18 K23:O23 K29:O30</xm:sqref>
        </x14:conditionalFormatting>
        <x14:conditionalFormatting xmlns:xm="http://schemas.microsoft.com/office/excel/2006/main">
          <x14:cfRule type="dataBar" id="{6A870865-3163-4DE8-9BC3-48FCF56E430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A17</xm:sqref>
        </x14:conditionalFormatting>
        <x14:conditionalFormatting xmlns:xm="http://schemas.microsoft.com/office/excel/2006/main">
          <x14:cfRule type="dataBar" id="{DE444397-7554-44F7-934E-8AEAC443638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J17</xm:sqref>
        </x14:conditionalFormatting>
        <x14:conditionalFormatting xmlns:xm="http://schemas.microsoft.com/office/excel/2006/main">
          <x14:cfRule type="dataBar" id="{02822FD9-C253-4784-991D-153A63A1618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B13:F23 B29:F35</xm:sqref>
        </x14:conditionalFormatting>
        <x14:conditionalFormatting xmlns:xm="http://schemas.microsoft.com/office/excel/2006/main">
          <x14:cfRule type="dataBar" id="{4FF6D37C-82C4-42AC-81C5-BD058AE77C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B13:F23 B29:F35</xm:sqref>
        </x14:conditionalFormatting>
        <x14:conditionalFormatting xmlns:xm="http://schemas.microsoft.com/office/excel/2006/main">
          <x14:cfRule type="dataBar" id="{BB29E6BE-942C-4DCC-AB86-18B2B3B9E57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B25:F28</xm:sqref>
        </x14:conditionalFormatting>
        <x14:conditionalFormatting xmlns:xm="http://schemas.microsoft.com/office/excel/2006/main">
          <x14:cfRule type="dataBar" id="{7378C528-AEA1-4EFF-817D-011355277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B25:F28</xm:sqref>
        </x14:conditionalFormatting>
        <x14:conditionalFormatting xmlns:xm="http://schemas.microsoft.com/office/excel/2006/main">
          <x14:cfRule type="dataBar" id="{D85BDA27-3ABF-4CA4-B517-562245DC475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K13:O16</xm:sqref>
        </x14:conditionalFormatting>
        <x14:conditionalFormatting xmlns:xm="http://schemas.microsoft.com/office/excel/2006/main">
          <x14:cfRule type="dataBar" id="{AB6CEA6E-AF31-4F01-B024-FBDD50F83D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K13:O16</xm:sqref>
        </x14:conditionalFormatting>
        <x14:conditionalFormatting xmlns:xm="http://schemas.microsoft.com/office/excel/2006/main">
          <x14:cfRule type="dataBar" id="{8AE7BBFE-510B-4D5E-89FE-862BEBD7CD4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K19:O22</xm:sqref>
        </x14:conditionalFormatting>
        <x14:conditionalFormatting xmlns:xm="http://schemas.microsoft.com/office/excel/2006/main">
          <x14:cfRule type="dataBar" id="{0AA20D04-23E8-450B-BCBC-010A7D5C1E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K19:O22</xm:sqref>
        </x14:conditionalFormatting>
        <x14:conditionalFormatting xmlns:xm="http://schemas.microsoft.com/office/excel/2006/main">
          <x14:cfRule type="dataBar" id="{ED830925-DEAC-4183-9604-4059BC81EA2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K31:O34</xm:sqref>
        </x14:conditionalFormatting>
        <x14:conditionalFormatting xmlns:xm="http://schemas.microsoft.com/office/excel/2006/main">
          <x14:cfRule type="dataBar" id="{75E95D5C-6CD5-4C5F-AF54-B84FC4C107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K31:O34</xm:sqref>
        </x14:conditionalFormatting>
        <x14:conditionalFormatting xmlns:xm="http://schemas.microsoft.com/office/excel/2006/main">
          <x14:cfRule type="dataBar" id="{41FE3986-D287-46B5-A746-281294420C3E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K25:O28</xm:sqref>
        </x14:conditionalFormatting>
        <x14:conditionalFormatting xmlns:xm="http://schemas.microsoft.com/office/excel/2006/main">
          <x14:cfRule type="dataBar" id="{19A36502-3D0D-4C54-8E0C-F4E49CB56C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K25:O28</xm:sqref>
        </x14:conditionalFormatting>
        <x14:conditionalFormatting xmlns:xm="http://schemas.microsoft.com/office/excel/2006/main">
          <x14:cfRule type="dataBar" id="{44107E5B-AC84-44AA-8A40-B6CF4F2F9FE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4D8113FA-FFB5-4165-953A-D8BEA9441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21"/>
  <sheetViews>
    <sheetView workbookViewId="0">
      <selection activeCell="I26" sqref="I26:N30"/>
    </sheetView>
  </sheetViews>
  <sheetFormatPr defaultRowHeight="15.75"/>
  <cols>
    <col min="1" max="1" width="29.375" style="85" bestFit="1" customWidth="1"/>
    <col min="2" max="2" width="8.25" style="83" bestFit="1" customWidth="1"/>
    <col min="3" max="3" width="8" style="83" bestFit="1" customWidth="1"/>
    <col min="4" max="4" width="10.25" style="83" customWidth="1"/>
    <col min="5" max="6" width="8" style="83" bestFit="1" customWidth="1"/>
    <col min="7" max="7" width="7.5" style="83" bestFit="1" customWidth="1"/>
    <col min="8" max="8" width="2.875" style="83" customWidth="1"/>
    <col min="9" max="9" width="12.875" style="83" bestFit="1" customWidth="1"/>
    <col min="10" max="14" width="6.125" style="83" bestFit="1" customWidth="1"/>
    <col min="15" max="15" width="3.125" style="83" customWidth="1"/>
    <col min="16" max="16" width="12.375" style="83" bestFit="1" customWidth="1"/>
    <col min="17" max="21" width="6.125" style="83" bestFit="1" customWidth="1"/>
    <col min="22" max="22" width="9" style="83"/>
  </cols>
  <sheetData>
    <row r="1" spans="1:22">
      <c r="A1" s="150" t="s">
        <v>348</v>
      </c>
      <c r="B1" s="103"/>
      <c r="C1" s="103"/>
      <c r="D1" s="103"/>
      <c r="E1" s="103"/>
      <c r="F1" s="103"/>
      <c r="G1" s="103"/>
    </row>
    <row r="2" spans="1:22">
      <c r="B2" s="103"/>
      <c r="C2" s="103"/>
      <c r="D2" s="103"/>
      <c r="E2" s="103"/>
      <c r="F2" s="103"/>
      <c r="G2" s="103"/>
    </row>
    <row r="3" spans="1:22">
      <c r="A3" s="151" t="s">
        <v>349</v>
      </c>
      <c r="B3" s="103"/>
      <c r="C3" s="103"/>
      <c r="D3" s="103"/>
      <c r="E3" s="103"/>
      <c r="F3" s="103"/>
      <c r="G3" s="103"/>
    </row>
    <row r="4" spans="1:22">
      <c r="B4" s="103"/>
      <c r="C4" s="103"/>
      <c r="D4" s="103"/>
      <c r="E4" s="103"/>
      <c r="F4" s="103"/>
      <c r="G4" s="103"/>
    </row>
    <row r="5" spans="1:22">
      <c r="A5" s="152" t="s">
        <v>350</v>
      </c>
      <c r="B5" s="103"/>
      <c r="C5" s="103"/>
      <c r="D5" s="103"/>
      <c r="E5" s="103"/>
      <c r="F5" s="103"/>
      <c r="G5" s="103"/>
    </row>
    <row r="6" spans="1:22">
      <c r="A6" s="140"/>
      <c r="B6" s="103"/>
      <c r="C6" s="103"/>
      <c r="D6" s="103"/>
      <c r="E6" s="103"/>
      <c r="F6" s="103"/>
      <c r="G6" s="103"/>
    </row>
    <row r="7" spans="1:22" s="34" customFormat="1">
      <c r="A7" s="84" t="s">
        <v>335</v>
      </c>
      <c r="B7" s="109" t="s">
        <v>268</v>
      </c>
      <c r="C7" s="109" t="s">
        <v>269</v>
      </c>
      <c r="D7" s="109" t="s">
        <v>270</v>
      </c>
      <c r="E7" s="109" t="s">
        <v>271</v>
      </c>
      <c r="F7" s="110" t="s">
        <v>272</v>
      </c>
      <c r="G7" s="153" t="s">
        <v>230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</row>
    <row r="8" spans="1:22">
      <c r="A8" s="298" t="s">
        <v>206</v>
      </c>
      <c r="B8" s="88">
        <v>10</v>
      </c>
      <c r="C8" s="89">
        <v>19</v>
      </c>
      <c r="D8" s="89">
        <v>14</v>
      </c>
      <c r="E8" s="89">
        <v>7</v>
      </c>
      <c r="F8" s="90">
        <v>12</v>
      </c>
      <c r="G8" s="103">
        <f>AVERAGE(B8:F8)</f>
        <v>12.4</v>
      </c>
    </row>
    <row r="9" spans="1:22">
      <c r="A9" s="298" t="s">
        <v>207</v>
      </c>
      <c r="B9" s="92">
        <v>11</v>
      </c>
      <c r="C9" s="93">
        <v>7</v>
      </c>
      <c r="D9" s="93">
        <v>10</v>
      </c>
      <c r="E9" s="93">
        <v>0</v>
      </c>
      <c r="F9" s="94">
        <v>1</v>
      </c>
      <c r="G9" s="103">
        <f t="shared" ref="G9:G11" si="0">AVERAGE(B9:F9)</f>
        <v>5.8</v>
      </c>
    </row>
    <row r="10" spans="1:22">
      <c r="A10" s="298" t="s">
        <v>208</v>
      </c>
      <c r="B10" s="92">
        <v>0</v>
      </c>
      <c r="C10" s="93">
        <v>0</v>
      </c>
      <c r="D10" s="93">
        <v>1</v>
      </c>
      <c r="E10" s="93">
        <v>12</v>
      </c>
      <c r="F10" s="94">
        <v>1</v>
      </c>
      <c r="G10" s="103">
        <f t="shared" si="0"/>
        <v>2.8</v>
      </c>
    </row>
    <row r="11" spans="1:22">
      <c r="A11" s="299" t="s">
        <v>209</v>
      </c>
      <c r="B11" s="95">
        <v>0</v>
      </c>
      <c r="C11" s="96">
        <v>1</v>
      </c>
      <c r="D11" s="96">
        <v>2</v>
      </c>
      <c r="E11" s="96">
        <v>3</v>
      </c>
      <c r="F11" s="97">
        <v>3</v>
      </c>
      <c r="G11" s="103">
        <f t="shared" si="0"/>
        <v>1.8</v>
      </c>
    </row>
    <row r="12" spans="1:22">
      <c r="A12" s="140" t="s">
        <v>351</v>
      </c>
      <c r="B12" s="103">
        <f>AVERAGE(B8:B11)</f>
        <v>5.25</v>
      </c>
      <c r="C12" s="103">
        <f t="shared" ref="C12:F12" si="1">AVERAGE(C8:C11)</f>
        <v>6.75</v>
      </c>
      <c r="D12" s="103">
        <f t="shared" si="1"/>
        <v>6.75</v>
      </c>
      <c r="E12" s="103">
        <f t="shared" si="1"/>
        <v>5.5</v>
      </c>
      <c r="F12" s="103">
        <f t="shared" si="1"/>
        <v>4.25</v>
      </c>
      <c r="G12" s="154">
        <f>AVERAGE(B8:F11)</f>
        <v>5.7</v>
      </c>
    </row>
    <row r="13" spans="1:22">
      <c r="A13" s="140"/>
      <c r="B13" s="103"/>
      <c r="C13" s="103"/>
      <c r="D13" s="103"/>
      <c r="E13" s="103"/>
      <c r="F13" s="103"/>
      <c r="G13" s="103"/>
    </row>
    <row r="14" spans="1:22" s="34" customFormat="1">
      <c r="A14" s="155" t="s">
        <v>352</v>
      </c>
      <c r="B14" s="153" t="s">
        <v>268</v>
      </c>
      <c r="C14" s="153" t="s">
        <v>269</v>
      </c>
      <c r="D14" s="153" t="s">
        <v>270</v>
      </c>
      <c r="E14" s="153" t="s">
        <v>271</v>
      </c>
      <c r="F14" s="153" t="s">
        <v>272</v>
      </c>
      <c r="G14" s="153"/>
      <c r="H14" s="141"/>
      <c r="I14" s="231" t="s">
        <v>467</v>
      </c>
      <c r="J14" s="172" t="s">
        <v>268</v>
      </c>
      <c r="K14" s="172" t="s">
        <v>269</v>
      </c>
      <c r="L14" s="172" t="s">
        <v>270</v>
      </c>
      <c r="M14" s="172" t="s">
        <v>271</v>
      </c>
      <c r="N14" s="173" t="s">
        <v>272</v>
      </c>
      <c r="O14" s="141"/>
      <c r="P14" s="231" t="s">
        <v>468</v>
      </c>
      <c r="Q14" s="172" t="s">
        <v>268</v>
      </c>
      <c r="R14" s="172" t="s">
        <v>269</v>
      </c>
      <c r="S14" s="172" t="s">
        <v>270</v>
      </c>
      <c r="T14" s="172" t="s">
        <v>271</v>
      </c>
      <c r="U14" s="173" t="s">
        <v>272</v>
      </c>
      <c r="V14" s="141"/>
    </row>
    <row r="15" spans="1:22">
      <c r="A15" s="156" t="s">
        <v>206</v>
      </c>
      <c r="B15" s="103">
        <f t="shared" ref="B15:F18" si="2">B8-$G8</f>
        <v>-2.4000000000000004</v>
      </c>
      <c r="C15" s="103">
        <f t="shared" si="2"/>
        <v>6.6</v>
      </c>
      <c r="D15" s="103">
        <f t="shared" si="2"/>
        <v>1.5999999999999996</v>
      </c>
      <c r="E15" s="103">
        <f t="shared" si="2"/>
        <v>-5.4</v>
      </c>
      <c r="F15" s="103">
        <f t="shared" si="2"/>
        <v>-0.40000000000000036</v>
      </c>
      <c r="G15" s="103"/>
      <c r="I15" s="174" t="s">
        <v>206</v>
      </c>
      <c r="J15" s="119">
        <v>-2.4000000000000004</v>
      </c>
      <c r="K15" s="120">
        <v>6.6</v>
      </c>
      <c r="L15" s="120">
        <v>1.5999999999999996</v>
      </c>
      <c r="M15" s="120">
        <v>-5.4</v>
      </c>
      <c r="N15" s="121">
        <v>-0.40000000000000036</v>
      </c>
      <c r="P15" s="174" t="s">
        <v>206</v>
      </c>
      <c r="Q15" s="119">
        <v>4.75</v>
      </c>
      <c r="R15" s="120">
        <v>12.25</v>
      </c>
      <c r="S15" s="120">
        <v>7.25</v>
      </c>
      <c r="T15" s="120">
        <v>1.5</v>
      </c>
      <c r="U15" s="121">
        <v>7.75</v>
      </c>
    </row>
    <row r="16" spans="1:22">
      <c r="A16" s="156" t="s">
        <v>207</v>
      </c>
      <c r="B16" s="103">
        <f t="shared" si="2"/>
        <v>5.2</v>
      </c>
      <c r="C16" s="103">
        <f t="shared" si="2"/>
        <v>1.2000000000000002</v>
      </c>
      <c r="D16" s="103">
        <f t="shared" si="2"/>
        <v>4.2</v>
      </c>
      <c r="E16" s="103">
        <f t="shared" si="2"/>
        <v>-5.8</v>
      </c>
      <c r="F16" s="103">
        <f t="shared" si="2"/>
        <v>-4.8</v>
      </c>
      <c r="G16" s="103"/>
      <c r="I16" s="174" t="s">
        <v>207</v>
      </c>
      <c r="J16" s="124">
        <v>5.2</v>
      </c>
      <c r="K16" s="125">
        <v>1.2000000000000002</v>
      </c>
      <c r="L16" s="125">
        <v>4.2</v>
      </c>
      <c r="M16" s="125">
        <v>-5.8</v>
      </c>
      <c r="N16" s="126">
        <v>-4.8</v>
      </c>
      <c r="P16" s="174" t="s">
        <v>207</v>
      </c>
      <c r="Q16" s="124">
        <v>5.75</v>
      </c>
      <c r="R16" s="125">
        <v>0.25</v>
      </c>
      <c r="S16" s="125">
        <v>3.25</v>
      </c>
      <c r="T16" s="125">
        <v>-5.5</v>
      </c>
      <c r="U16" s="126">
        <v>-3.25</v>
      </c>
    </row>
    <row r="17" spans="1:22">
      <c r="A17" s="156" t="s">
        <v>274</v>
      </c>
      <c r="B17" s="103">
        <f t="shared" si="2"/>
        <v>-2.8</v>
      </c>
      <c r="C17" s="103">
        <f t="shared" si="2"/>
        <v>-2.8</v>
      </c>
      <c r="D17" s="103">
        <f t="shared" si="2"/>
        <v>-1.7999999999999998</v>
      </c>
      <c r="E17" s="103">
        <f t="shared" si="2"/>
        <v>9.1999999999999993</v>
      </c>
      <c r="F17" s="103">
        <f t="shared" si="2"/>
        <v>-1.7999999999999998</v>
      </c>
      <c r="G17" s="103"/>
      <c r="I17" s="174" t="s">
        <v>208</v>
      </c>
      <c r="J17" s="124">
        <v>-2.8</v>
      </c>
      <c r="K17" s="125">
        <v>-2.8</v>
      </c>
      <c r="L17" s="125">
        <v>-1.7999999999999998</v>
      </c>
      <c r="M17" s="125">
        <v>9.1999999999999993</v>
      </c>
      <c r="N17" s="126">
        <v>-1.7999999999999998</v>
      </c>
      <c r="P17" s="174" t="s">
        <v>208</v>
      </c>
      <c r="Q17" s="124">
        <v>-5.25</v>
      </c>
      <c r="R17" s="125">
        <v>-6.75</v>
      </c>
      <c r="S17" s="125">
        <v>-5.75</v>
      </c>
      <c r="T17" s="125">
        <v>6.5</v>
      </c>
      <c r="U17" s="126">
        <v>-3.25</v>
      </c>
    </row>
    <row r="18" spans="1:22">
      <c r="A18" s="156" t="s">
        <v>209</v>
      </c>
      <c r="B18" s="103">
        <f t="shared" si="2"/>
        <v>-1.8</v>
      </c>
      <c r="C18" s="103">
        <f t="shared" si="2"/>
        <v>-0.8</v>
      </c>
      <c r="D18" s="103">
        <f t="shared" si="2"/>
        <v>0.19999999999999996</v>
      </c>
      <c r="E18" s="103">
        <f t="shared" si="2"/>
        <v>1.2</v>
      </c>
      <c r="F18" s="103">
        <f t="shared" si="2"/>
        <v>1.2</v>
      </c>
      <c r="G18" s="103"/>
      <c r="I18" s="175" t="s">
        <v>209</v>
      </c>
      <c r="J18" s="132">
        <v>-1.8</v>
      </c>
      <c r="K18" s="133">
        <v>-0.8</v>
      </c>
      <c r="L18" s="133">
        <v>0.19999999999999996</v>
      </c>
      <c r="M18" s="133">
        <v>1.2</v>
      </c>
      <c r="N18" s="134">
        <v>1.2</v>
      </c>
      <c r="P18" s="175" t="s">
        <v>209</v>
      </c>
      <c r="Q18" s="132">
        <v>-5.25</v>
      </c>
      <c r="R18" s="133">
        <v>-5.75</v>
      </c>
      <c r="S18" s="133">
        <v>-4.75</v>
      </c>
      <c r="T18" s="133">
        <v>-2.5</v>
      </c>
      <c r="U18" s="134">
        <v>-1.25</v>
      </c>
    </row>
    <row r="19" spans="1:22">
      <c r="A19" s="156"/>
      <c r="B19" s="103"/>
      <c r="C19" s="103"/>
      <c r="D19" s="103"/>
      <c r="E19" s="103"/>
      <c r="F19" s="103"/>
      <c r="G19" s="103"/>
    </row>
    <row r="20" spans="1:22" s="34" customFormat="1">
      <c r="A20" s="156" t="s">
        <v>353</v>
      </c>
      <c r="B20" s="153" t="s">
        <v>268</v>
      </c>
      <c r="C20" s="153" t="s">
        <v>269</v>
      </c>
      <c r="D20" s="153" t="s">
        <v>270</v>
      </c>
      <c r="E20" s="153" t="s">
        <v>271</v>
      </c>
      <c r="F20" s="153" t="s">
        <v>272</v>
      </c>
      <c r="G20" s="153"/>
      <c r="H20" s="141"/>
      <c r="I20" s="171" t="s">
        <v>469</v>
      </c>
      <c r="J20" s="172" t="s">
        <v>268</v>
      </c>
      <c r="K20" s="172" t="s">
        <v>269</v>
      </c>
      <c r="L20" s="172" t="s">
        <v>270</v>
      </c>
      <c r="M20" s="172" t="s">
        <v>271</v>
      </c>
      <c r="N20" s="173" t="s">
        <v>272</v>
      </c>
      <c r="O20" s="141"/>
      <c r="P20" s="171" t="s">
        <v>470</v>
      </c>
      <c r="Q20" s="172" t="s">
        <v>268</v>
      </c>
      <c r="R20" s="172" t="s">
        <v>269</v>
      </c>
      <c r="S20" s="172" t="s">
        <v>270</v>
      </c>
      <c r="T20" s="172" t="s">
        <v>271</v>
      </c>
      <c r="U20" s="173" t="s">
        <v>272</v>
      </c>
      <c r="V20" s="141"/>
    </row>
    <row r="21" spans="1:22">
      <c r="A21" s="156" t="s">
        <v>206</v>
      </c>
      <c r="B21" s="103">
        <f t="shared" ref="B21:F24" si="3">B8-B$12</f>
        <v>4.75</v>
      </c>
      <c r="C21" s="103">
        <f t="shared" si="3"/>
        <v>12.25</v>
      </c>
      <c r="D21" s="103">
        <f t="shared" si="3"/>
        <v>7.25</v>
      </c>
      <c r="E21" s="103">
        <f t="shared" si="3"/>
        <v>1.5</v>
      </c>
      <c r="F21" s="103">
        <f t="shared" si="3"/>
        <v>7.75</v>
      </c>
      <c r="G21" s="103"/>
      <c r="I21" s="174" t="s">
        <v>206</v>
      </c>
      <c r="J21" s="119">
        <v>1.1749999999999998</v>
      </c>
      <c r="K21" s="120">
        <v>9.4250000000000007</v>
      </c>
      <c r="L21" s="120">
        <v>4.4249999999999998</v>
      </c>
      <c r="M21" s="120">
        <v>-1.9500000000000002</v>
      </c>
      <c r="N21" s="121">
        <v>3.6749999999999998</v>
      </c>
      <c r="P21" s="174" t="s">
        <v>206</v>
      </c>
      <c r="Q21" s="119">
        <v>4.3</v>
      </c>
      <c r="R21" s="120">
        <v>13.3</v>
      </c>
      <c r="S21" s="120">
        <v>8.3000000000000007</v>
      </c>
      <c r="T21" s="120">
        <v>1.2999999999999998</v>
      </c>
      <c r="U21" s="121">
        <v>6.3</v>
      </c>
    </row>
    <row r="22" spans="1:22">
      <c r="A22" s="156" t="s">
        <v>207</v>
      </c>
      <c r="B22" s="103">
        <f t="shared" si="3"/>
        <v>5.75</v>
      </c>
      <c r="C22" s="103">
        <f t="shared" si="3"/>
        <v>0.25</v>
      </c>
      <c r="D22" s="103">
        <f t="shared" si="3"/>
        <v>3.25</v>
      </c>
      <c r="E22" s="103">
        <f t="shared" si="3"/>
        <v>-5.5</v>
      </c>
      <c r="F22" s="103">
        <f t="shared" si="3"/>
        <v>-3.25</v>
      </c>
      <c r="G22" s="103"/>
      <c r="I22" s="174" t="s">
        <v>207</v>
      </c>
      <c r="J22" s="124">
        <v>5.4749999999999996</v>
      </c>
      <c r="K22" s="125">
        <v>0.72500000000000009</v>
      </c>
      <c r="L22" s="125">
        <v>3.7250000000000001</v>
      </c>
      <c r="M22" s="125">
        <v>-5.65</v>
      </c>
      <c r="N22" s="126">
        <v>-4.0250000000000004</v>
      </c>
      <c r="P22" s="174" t="s">
        <v>207</v>
      </c>
      <c r="Q22" s="124">
        <v>5.3</v>
      </c>
      <c r="R22" s="125">
        <v>1.2999999999999998</v>
      </c>
      <c r="S22" s="125">
        <v>4.3</v>
      </c>
      <c r="T22" s="125">
        <v>-5.7</v>
      </c>
      <c r="U22" s="126">
        <v>-4.7</v>
      </c>
    </row>
    <row r="23" spans="1:22">
      <c r="A23" s="156" t="s">
        <v>208</v>
      </c>
      <c r="B23" s="103">
        <f t="shared" si="3"/>
        <v>-5.25</v>
      </c>
      <c r="C23" s="103">
        <f t="shared" si="3"/>
        <v>-6.75</v>
      </c>
      <c r="D23" s="103">
        <f t="shared" si="3"/>
        <v>-5.75</v>
      </c>
      <c r="E23" s="103">
        <f t="shared" si="3"/>
        <v>6.5</v>
      </c>
      <c r="F23" s="103">
        <f t="shared" si="3"/>
        <v>-3.25</v>
      </c>
      <c r="G23" s="103"/>
      <c r="I23" s="174" t="s">
        <v>208</v>
      </c>
      <c r="J23" s="124">
        <v>-4.0250000000000004</v>
      </c>
      <c r="K23" s="125">
        <v>-4.7750000000000004</v>
      </c>
      <c r="L23" s="125">
        <v>-3.7749999999999999</v>
      </c>
      <c r="M23" s="125">
        <v>7.85</v>
      </c>
      <c r="N23" s="126">
        <v>-2.5249999999999999</v>
      </c>
      <c r="P23" s="174" t="s">
        <v>208</v>
      </c>
      <c r="Q23" s="124">
        <v>-5.7</v>
      </c>
      <c r="R23" s="125">
        <v>-5.7</v>
      </c>
      <c r="S23" s="125">
        <v>-4.7</v>
      </c>
      <c r="T23" s="125">
        <v>6.3</v>
      </c>
      <c r="U23" s="126">
        <v>-4.7</v>
      </c>
    </row>
    <row r="24" spans="1:22">
      <c r="A24" s="156" t="s">
        <v>209</v>
      </c>
      <c r="B24" s="103">
        <f t="shared" si="3"/>
        <v>-5.25</v>
      </c>
      <c r="C24" s="103">
        <f t="shared" si="3"/>
        <v>-5.75</v>
      </c>
      <c r="D24" s="103">
        <f t="shared" si="3"/>
        <v>-4.75</v>
      </c>
      <c r="E24" s="103">
        <f t="shared" si="3"/>
        <v>-2.5</v>
      </c>
      <c r="F24" s="103">
        <f t="shared" si="3"/>
        <v>-1.25</v>
      </c>
      <c r="G24" s="103"/>
      <c r="I24" s="175" t="s">
        <v>209</v>
      </c>
      <c r="J24" s="132">
        <v>-3.5249999999999999</v>
      </c>
      <c r="K24" s="133">
        <v>-3.2749999999999999</v>
      </c>
      <c r="L24" s="133">
        <v>-2.2749999999999999</v>
      </c>
      <c r="M24" s="133">
        <v>-0.65</v>
      </c>
      <c r="N24" s="134">
        <v>-2.5000000000000022E-2</v>
      </c>
      <c r="P24" s="175" t="s">
        <v>209</v>
      </c>
      <c r="Q24" s="132">
        <v>-5.7</v>
      </c>
      <c r="R24" s="133">
        <v>-4.7</v>
      </c>
      <c r="S24" s="133">
        <v>-3.7</v>
      </c>
      <c r="T24" s="133">
        <v>-2.7</v>
      </c>
      <c r="U24" s="134">
        <v>-2.7</v>
      </c>
    </row>
    <row r="25" spans="1:22">
      <c r="A25" s="156"/>
      <c r="B25" s="103"/>
      <c r="C25" s="103"/>
      <c r="D25" s="103"/>
      <c r="E25" s="103"/>
      <c r="F25" s="103"/>
      <c r="G25" s="103"/>
    </row>
    <row r="26" spans="1:22" s="34" customFormat="1">
      <c r="A26" s="156" t="s">
        <v>354</v>
      </c>
      <c r="B26" s="153" t="s">
        <v>268</v>
      </c>
      <c r="C26" s="153" t="s">
        <v>269</v>
      </c>
      <c r="D26" s="153" t="s">
        <v>270</v>
      </c>
      <c r="E26" s="153" t="s">
        <v>271</v>
      </c>
      <c r="F26" s="153" t="s">
        <v>272</v>
      </c>
      <c r="G26" s="153"/>
      <c r="H26" s="141"/>
      <c r="I26"/>
      <c r="J26"/>
      <c r="K26"/>
      <c r="L26"/>
      <c r="M26"/>
      <c r="N26"/>
      <c r="O26" s="141"/>
      <c r="P26" s="141"/>
      <c r="Q26" s="141"/>
      <c r="R26" s="141"/>
      <c r="S26" s="141"/>
      <c r="T26" s="141"/>
      <c r="U26" s="141"/>
      <c r="V26" s="141"/>
    </row>
    <row r="27" spans="1:22">
      <c r="A27" s="156" t="s">
        <v>206</v>
      </c>
      <c r="B27" s="103">
        <f t="shared" ref="B27:F30" si="4">(B15+B21)/2</f>
        <v>1.1749999999999998</v>
      </c>
      <c r="C27" s="103">
        <f t="shared" si="4"/>
        <v>9.4250000000000007</v>
      </c>
      <c r="D27" s="103">
        <f t="shared" si="4"/>
        <v>4.4249999999999998</v>
      </c>
      <c r="E27" s="103">
        <f t="shared" si="4"/>
        <v>-1.9500000000000002</v>
      </c>
      <c r="F27" s="103">
        <f t="shared" si="4"/>
        <v>3.6749999999999998</v>
      </c>
      <c r="G27" s="103"/>
      <c r="I27"/>
      <c r="J27"/>
      <c r="K27"/>
      <c r="L27"/>
      <c r="M27"/>
      <c r="N27"/>
    </row>
    <row r="28" spans="1:22">
      <c r="A28" s="156" t="s">
        <v>207</v>
      </c>
      <c r="B28" s="103">
        <f t="shared" si="4"/>
        <v>5.4749999999999996</v>
      </c>
      <c r="C28" s="103">
        <f t="shared" si="4"/>
        <v>0.72500000000000009</v>
      </c>
      <c r="D28" s="103">
        <f t="shared" si="4"/>
        <v>3.7250000000000001</v>
      </c>
      <c r="E28" s="103">
        <f t="shared" si="4"/>
        <v>-5.65</v>
      </c>
      <c r="F28" s="103">
        <f t="shared" si="4"/>
        <v>-4.0250000000000004</v>
      </c>
      <c r="G28" s="103"/>
      <c r="I28"/>
      <c r="J28"/>
      <c r="K28"/>
      <c r="L28"/>
      <c r="M28"/>
      <c r="N28"/>
    </row>
    <row r="29" spans="1:22">
      <c r="A29" s="156" t="s">
        <v>208</v>
      </c>
      <c r="B29" s="103">
        <f t="shared" si="4"/>
        <v>-4.0250000000000004</v>
      </c>
      <c r="C29" s="103">
        <f t="shared" si="4"/>
        <v>-4.7750000000000004</v>
      </c>
      <c r="D29" s="103">
        <f t="shared" si="4"/>
        <v>-3.7749999999999999</v>
      </c>
      <c r="E29" s="103">
        <f t="shared" si="4"/>
        <v>7.85</v>
      </c>
      <c r="F29" s="103">
        <f t="shared" si="4"/>
        <v>-2.5249999999999999</v>
      </c>
      <c r="G29" s="103"/>
      <c r="I29"/>
      <c r="J29"/>
      <c r="K29"/>
      <c r="L29"/>
      <c r="M29"/>
      <c r="N29"/>
    </row>
    <row r="30" spans="1:22">
      <c r="A30" s="156" t="s">
        <v>209</v>
      </c>
      <c r="B30" s="103">
        <f t="shared" si="4"/>
        <v>-3.5249999999999999</v>
      </c>
      <c r="C30" s="103">
        <f t="shared" si="4"/>
        <v>-3.2749999999999999</v>
      </c>
      <c r="D30" s="103">
        <f t="shared" si="4"/>
        <v>-2.2749999999999999</v>
      </c>
      <c r="E30" s="103">
        <f t="shared" si="4"/>
        <v>-0.65</v>
      </c>
      <c r="F30" s="103">
        <f t="shared" si="4"/>
        <v>-2.5000000000000022E-2</v>
      </c>
      <c r="G30" s="103"/>
      <c r="I30"/>
      <c r="J30"/>
      <c r="K30"/>
      <c r="L30"/>
      <c r="M30"/>
      <c r="N30"/>
    </row>
    <row r="31" spans="1:22">
      <c r="A31" s="156"/>
      <c r="B31" s="103"/>
      <c r="C31" s="103"/>
      <c r="D31" s="103"/>
      <c r="E31" s="103"/>
      <c r="F31" s="103"/>
      <c r="G31" s="103"/>
    </row>
    <row r="32" spans="1:22" s="34" customFormat="1">
      <c r="A32" s="156" t="s">
        <v>355</v>
      </c>
      <c r="B32" s="153" t="s">
        <v>268</v>
      </c>
      <c r="C32" s="153" t="s">
        <v>269</v>
      </c>
      <c r="D32" s="153" t="s">
        <v>270</v>
      </c>
      <c r="E32" s="153" t="s">
        <v>271</v>
      </c>
      <c r="F32" s="153" t="s">
        <v>272</v>
      </c>
      <c r="G32" s="153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</row>
    <row r="33" spans="1:22">
      <c r="A33" s="156" t="s">
        <v>206</v>
      </c>
      <c r="B33" s="103">
        <f t="shared" ref="B33:F36" si="5">B8-$G$12</f>
        <v>4.3</v>
      </c>
      <c r="C33" s="103">
        <f t="shared" si="5"/>
        <v>13.3</v>
      </c>
      <c r="D33" s="103">
        <f t="shared" si="5"/>
        <v>8.3000000000000007</v>
      </c>
      <c r="E33" s="103">
        <f t="shared" si="5"/>
        <v>1.2999999999999998</v>
      </c>
      <c r="F33" s="103">
        <f t="shared" si="5"/>
        <v>6.3</v>
      </c>
      <c r="G33" s="103"/>
    </row>
    <row r="34" spans="1:22">
      <c r="A34" s="156" t="s">
        <v>207</v>
      </c>
      <c r="B34" s="103">
        <f t="shared" si="5"/>
        <v>5.3</v>
      </c>
      <c r="C34" s="103">
        <f t="shared" si="5"/>
        <v>1.2999999999999998</v>
      </c>
      <c r="D34" s="103">
        <f t="shared" si="5"/>
        <v>4.3</v>
      </c>
      <c r="E34" s="103">
        <f t="shared" si="5"/>
        <v>-5.7</v>
      </c>
      <c r="F34" s="103">
        <f t="shared" si="5"/>
        <v>-4.7</v>
      </c>
      <c r="G34" s="103"/>
    </row>
    <row r="35" spans="1:22">
      <c r="A35" s="156" t="s">
        <v>208</v>
      </c>
      <c r="B35" s="103">
        <f t="shared" si="5"/>
        <v>-5.7</v>
      </c>
      <c r="C35" s="103">
        <f t="shared" si="5"/>
        <v>-5.7</v>
      </c>
      <c r="D35" s="103">
        <f t="shared" si="5"/>
        <v>-4.7</v>
      </c>
      <c r="E35" s="103">
        <f t="shared" si="5"/>
        <v>6.3</v>
      </c>
      <c r="F35" s="103">
        <f t="shared" si="5"/>
        <v>-4.7</v>
      </c>
      <c r="G35" s="103"/>
    </row>
    <row r="36" spans="1:22">
      <c r="A36" s="156" t="s">
        <v>209</v>
      </c>
      <c r="B36" s="103">
        <f t="shared" si="5"/>
        <v>-5.7</v>
      </c>
      <c r="C36" s="103">
        <f t="shared" si="5"/>
        <v>-4.7</v>
      </c>
      <c r="D36" s="103">
        <f t="shared" si="5"/>
        <v>-3.7</v>
      </c>
      <c r="E36" s="103">
        <f t="shared" si="5"/>
        <v>-2.7</v>
      </c>
      <c r="F36" s="103">
        <f t="shared" si="5"/>
        <v>-2.7</v>
      </c>
      <c r="G36" s="103"/>
    </row>
    <row r="37" spans="1:22">
      <c r="A37" s="156"/>
      <c r="B37" s="103"/>
      <c r="C37" s="103"/>
      <c r="D37" s="103"/>
      <c r="E37" s="103"/>
      <c r="F37" s="103"/>
      <c r="G37" s="103"/>
    </row>
    <row r="38" spans="1:22">
      <c r="A38" s="156"/>
      <c r="B38" s="103"/>
      <c r="C38" s="103"/>
      <c r="D38" s="103"/>
      <c r="E38" s="103"/>
      <c r="F38" s="103"/>
      <c r="G38" s="103"/>
    </row>
    <row r="39" spans="1:22">
      <c r="A39" s="139" t="s">
        <v>356</v>
      </c>
      <c r="B39" s="103"/>
      <c r="C39" s="103"/>
      <c r="D39" s="103"/>
      <c r="E39" s="103"/>
      <c r="F39" s="103"/>
      <c r="G39" s="103"/>
    </row>
    <row r="40" spans="1:22">
      <c r="A40" s="157"/>
      <c r="B40" s="103"/>
      <c r="C40" s="103"/>
      <c r="D40" s="103"/>
      <c r="E40" s="103"/>
      <c r="F40" s="103"/>
      <c r="G40" s="103"/>
    </row>
    <row r="41" spans="1:22" s="34" customFormat="1">
      <c r="A41" s="171" t="s">
        <v>357</v>
      </c>
      <c r="B41" s="341" t="s">
        <v>268</v>
      </c>
      <c r="C41" s="341" t="s">
        <v>269</v>
      </c>
      <c r="D41" s="341" t="s">
        <v>270</v>
      </c>
      <c r="E41" s="341" t="s">
        <v>271</v>
      </c>
      <c r="F41" s="342" t="s">
        <v>272</v>
      </c>
      <c r="G41" s="153" t="s">
        <v>230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</row>
    <row r="42" spans="1:22">
      <c r="A42" s="174" t="s">
        <v>275</v>
      </c>
      <c r="B42" s="88">
        <v>10</v>
      </c>
      <c r="C42" s="89">
        <v>19</v>
      </c>
      <c r="D42" s="89">
        <v>14</v>
      </c>
      <c r="E42" s="89">
        <v>7</v>
      </c>
      <c r="F42" s="90">
        <v>12</v>
      </c>
      <c r="G42" s="103">
        <f>AVERAGE(B42:F42)</f>
        <v>12.4</v>
      </c>
    </row>
    <row r="43" spans="1:22">
      <c r="A43" s="174" t="s">
        <v>207</v>
      </c>
      <c r="B43" s="92">
        <v>11</v>
      </c>
      <c r="C43" s="93">
        <v>7</v>
      </c>
      <c r="D43" s="93">
        <v>10</v>
      </c>
      <c r="E43" s="93">
        <v>0</v>
      </c>
      <c r="F43" s="94">
        <v>1</v>
      </c>
      <c r="G43" s="103">
        <f>AVERAGE(B43:F43)</f>
        <v>5.8</v>
      </c>
    </row>
    <row r="44" spans="1:22">
      <c r="A44" s="174" t="s">
        <v>208</v>
      </c>
      <c r="B44" s="92">
        <v>0</v>
      </c>
      <c r="C44" s="93">
        <v>0</v>
      </c>
      <c r="D44" s="93">
        <v>1</v>
      </c>
      <c r="E44" s="93">
        <v>12</v>
      </c>
      <c r="F44" s="94">
        <v>1</v>
      </c>
      <c r="G44" s="103">
        <f>AVERAGE(B44:F44)</f>
        <v>2.8</v>
      </c>
    </row>
    <row r="45" spans="1:22">
      <c r="A45" s="175" t="s">
        <v>209</v>
      </c>
      <c r="B45" s="95">
        <v>0</v>
      </c>
      <c r="C45" s="96">
        <v>1</v>
      </c>
      <c r="D45" s="96">
        <v>2</v>
      </c>
      <c r="E45" s="96">
        <v>3</v>
      </c>
      <c r="F45" s="97">
        <v>3</v>
      </c>
      <c r="G45" s="103">
        <f>AVERAGE(B45:F45)</f>
        <v>1.8</v>
      </c>
    </row>
    <row r="46" spans="1:22">
      <c r="A46" s="140" t="s">
        <v>351</v>
      </c>
      <c r="B46" s="103">
        <f>AVERAGE(B42:B45)</f>
        <v>5.25</v>
      </c>
      <c r="C46" s="103">
        <f t="shared" ref="C46:F46" si="6">AVERAGE(C42:C45)</f>
        <v>6.75</v>
      </c>
      <c r="D46" s="103">
        <f t="shared" si="6"/>
        <v>6.75</v>
      </c>
      <c r="E46" s="103">
        <f t="shared" si="6"/>
        <v>5.5</v>
      </c>
      <c r="F46" s="103">
        <f t="shared" si="6"/>
        <v>4.25</v>
      </c>
      <c r="G46" s="154">
        <f>AVERAGE(B42:F45)</f>
        <v>5.7</v>
      </c>
    </row>
    <row r="47" spans="1:22">
      <c r="A47" s="140"/>
      <c r="B47" s="103"/>
      <c r="C47" s="103"/>
      <c r="D47" s="103"/>
      <c r="E47" s="103"/>
      <c r="F47" s="103"/>
      <c r="G47" s="103"/>
    </row>
    <row r="48" spans="1:22" s="34" customFormat="1">
      <c r="A48" s="156" t="s">
        <v>358</v>
      </c>
      <c r="B48" s="158" t="s">
        <v>284</v>
      </c>
      <c r="C48" s="158" t="s">
        <v>285</v>
      </c>
      <c r="D48" s="158" t="s">
        <v>286</v>
      </c>
      <c r="E48" s="158" t="s">
        <v>287</v>
      </c>
      <c r="F48" s="158" t="s">
        <v>288</v>
      </c>
      <c r="G48" s="153"/>
      <c r="H48" s="141"/>
      <c r="I48" s="171" t="s">
        <v>475</v>
      </c>
      <c r="J48" s="172" t="s">
        <v>268</v>
      </c>
      <c r="K48" s="172" t="s">
        <v>269</v>
      </c>
      <c r="L48" s="172" t="s">
        <v>270</v>
      </c>
      <c r="M48" s="172" t="s">
        <v>271</v>
      </c>
      <c r="N48" s="173" t="s">
        <v>272</v>
      </c>
      <c r="O48" s="245"/>
      <c r="P48" s="171" t="s">
        <v>476</v>
      </c>
      <c r="Q48" s="172" t="s">
        <v>268</v>
      </c>
      <c r="R48" s="172" t="s">
        <v>269</v>
      </c>
      <c r="S48" s="172" t="s">
        <v>270</v>
      </c>
      <c r="T48" s="172" t="s">
        <v>271</v>
      </c>
      <c r="U48" s="173" t="s">
        <v>272</v>
      </c>
      <c r="V48" s="141"/>
    </row>
    <row r="49" spans="1:22">
      <c r="A49" s="156" t="s">
        <v>289</v>
      </c>
      <c r="B49" s="159">
        <f>B42/$G42</f>
        <v>0.80645161290322576</v>
      </c>
      <c r="C49" s="159">
        <f t="shared" ref="C49:F49" si="7">C42/$G42</f>
        <v>1.532258064516129</v>
      </c>
      <c r="D49" s="159">
        <f t="shared" si="7"/>
        <v>1.129032258064516</v>
      </c>
      <c r="E49" s="159">
        <f t="shared" si="7"/>
        <v>0.56451612903225801</v>
      </c>
      <c r="F49" s="159">
        <f t="shared" si="7"/>
        <v>0.96774193548387089</v>
      </c>
      <c r="G49" s="103"/>
      <c r="I49" s="174" t="s">
        <v>206</v>
      </c>
      <c r="J49" s="119">
        <v>0.80645161290322576</v>
      </c>
      <c r="K49" s="120">
        <v>1.532258064516129</v>
      </c>
      <c r="L49" s="120">
        <v>1.129032258064516</v>
      </c>
      <c r="M49" s="120">
        <v>0.56451612903225801</v>
      </c>
      <c r="N49" s="121">
        <v>0.96774193548387089</v>
      </c>
      <c r="O49" s="246"/>
      <c r="P49" s="174" t="s">
        <v>206</v>
      </c>
      <c r="Q49" s="119">
        <v>1.9047619047619047</v>
      </c>
      <c r="R49" s="120">
        <v>2.8148148148148149</v>
      </c>
      <c r="S49" s="120">
        <v>2.074074074074074</v>
      </c>
      <c r="T49" s="120">
        <v>1.2727272727272727</v>
      </c>
      <c r="U49" s="121">
        <v>2.8235294117647061</v>
      </c>
    </row>
    <row r="50" spans="1:22">
      <c r="A50" s="156" t="s">
        <v>290</v>
      </c>
      <c r="B50" s="159">
        <f>B43/$G43</f>
        <v>1.896551724137931</v>
      </c>
      <c r="C50" s="159">
        <f t="shared" ref="C50:E50" si="8">C43/$G43</f>
        <v>1.2068965517241379</v>
      </c>
      <c r="D50" s="159">
        <f t="shared" si="8"/>
        <v>1.7241379310344829</v>
      </c>
      <c r="E50" s="159">
        <f t="shared" si="8"/>
        <v>0</v>
      </c>
      <c r="F50" s="159">
        <f>F43/$G43</f>
        <v>0.17241379310344829</v>
      </c>
      <c r="G50" s="103"/>
      <c r="I50" s="174" t="s">
        <v>207</v>
      </c>
      <c r="J50" s="124">
        <v>1.896551724137931</v>
      </c>
      <c r="K50" s="125">
        <v>1.2068965517241379</v>
      </c>
      <c r="L50" s="125">
        <v>1.7241379310344829</v>
      </c>
      <c r="M50" s="125">
        <v>0</v>
      </c>
      <c r="N50" s="126">
        <v>0.17241379310344829</v>
      </c>
      <c r="O50" s="246"/>
      <c r="P50" s="174" t="s">
        <v>207</v>
      </c>
      <c r="Q50" s="124">
        <v>2.0952380952380953</v>
      </c>
      <c r="R50" s="125">
        <v>1.037037037037037</v>
      </c>
      <c r="S50" s="125">
        <v>1.4814814814814814</v>
      </c>
      <c r="T50" s="125">
        <v>0</v>
      </c>
      <c r="U50" s="126">
        <v>0.23529411764705882</v>
      </c>
    </row>
    <row r="51" spans="1:22">
      <c r="A51" s="156" t="s">
        <v>291</v>
      </c>
      <c r="B51" s="159">
        <f t="shared" ref="B51:F51" si="9">B44/$G44</f>
        <v>0</v>
      </c>
      <c r="C51" s="159">
        <f t="shared" si="9"/>
        <v>0</v>
      </c>
      <c r="D51" s="159">
        <f t="shared" si="9"/>
        <v>0.35714285714285715</v>
      </c>
      <c r="E51" s="159">
        <f t="shared" si="9"/>
        <v>4.2857142857142856</v>
      </c>
      <c r="F51" s="159">
        <f t="shared" si="9"/>
        <v>0.35714285714285715</v>
      </c>
      <c r="G51" s="103"/>
      <c r="I51" s="174" t="s">
        <v>208</v>
      </c>
      <c r="J51" s="124">
        <v>0</v>
      </c>
      <c r="K51" s="125">
        <v>0</v>
      </c>
      <c r="L51" s="125">
        <v>0.35714285714285715</v>
      </c>
      <c r="M51" s="125">
        <v>4.2857142857142856</v>
      </c>
      <c r="N51" s="126">
        <v>0.35714285714285715</v>
      </c>
      <c r="O51" s="246"/>
      <c r="P51" s="174" t="s">
        <v>208</v>
      </c>
      <c r="Q51" s="124">
        <v>0</v>
      </c>
      <c r="R51" s="125">
        <v>0</v>
      </c>
      <c r="S51" s="125">
        <v>0.14814814814814814</v>
      </c>
      <c r="T51" s="125">
        <v>2.1818181818181817</v>
      </c>
      <c r="U51" s="126">
        <v>0.23529411764705882</v>
      </c>
    </row>
    <row r="52" spans="1:22">
      <c r="A52" s="156" t="s">
        <v>292</v>
      </c>
      <c r="B52" s="159">
        <f t="shared" ref="B52:E52" si="10">B45/$G45</f>
        <v>0</v>
      </c>
      <c r="C52" s="159">
        <f t="shared" si="10"/>
        <v>0.55555555555555558</v>
      </c>
      <c r="D52" s="159">
        <f t="shared" si="10"/>
        <v>1.1111111111111112</v>
      </c>
      <c r="E52" s="159">
        <f t="shared" si="10"/>
        <v>1.6666666666666665</v>
      </c>
      <c r="F52" s="159">
        <f>F45/$G45</f>
        <v>1.6666666666666665</v>
      </c>
      <c r="G52" s="103"/>
      <c r="I52" s="175" t="s">
        <v>209</v>
      </c>
      <c r="J52" s="132">
        <v>0</v>
      </c>
      <c r="K52" s="133">
        <v>0.55555555555555558</v>
      </c>
      <c r="L52" s="133">
        <v>1.1111111111111112</v>
      </c>
      <c r="M52" s="133">
        <v>1.6666666666666665</v>
      </c>
      <c r="N52" s="134">
        <v>1.6666666666666665</v>
      </c>
      <c r="O52" s="246"/>
      <c r="P52" s="175" t="s">
        <v>209</v>
      </c>
      <c r="Q52" s="132">
        <v>0</v>
      </c>
      <c r="R52" s="133">
        <v>0.14814814814814814</v>
      </c>
      <c r="S52" s="133">
        <v>0.29629629629629628</v>
      </c>
      <c r="T52" s="133">
        <v>0.54545454545454541</v>
      </c>
      <c r="U52" s="134">
        <v>0.70588235294117652</v>
      </c>
    </row>
    <row r="53" spans="1:22">
      <c r="A53" s="153"/>
      <c r="B53" s="103"/>
      <c r="C53" s="103"/>
      <c r="D53" s="103"/>
      <c r="E53" s="103"/>
      <c r="F53" s="103"/>
      <c r="G53" s="103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</row>
    <row r="54" spans="1:22" s="34" customFormat="1">
      <c r="A54" s="156" t="s">
        <v>359</v>
      </c>
      <c r="B54" s="153" t="s">
        <v>268</v>
      </c>
      <c r="C54" s="153" t="s">
        <v>269</v>
      </c>
      <c r="D54" s="153" t="s">
        <v>270</v>
      </c>
      <c r="E54" s="153" t="s">
        <v>271</v>
      </c>
      <c r="F54" s="153" t="s">
        <v>272</v>
      </c>
      <c r="G54" s="153"/>
      <c r="H54" s="141"/>
      <c r="I54" s="171" t="s">
        <v>477</v>
      </c>
      <c r="J54" s="172" t="s">
        <v>268</v>
      </c>
      <c r="K54" s="172" t="s">
        <v>269</v>
      </c>
      <c r="L54" s="172" t="s">
        <v>270</v>
      </c>
      <c r="M54" s="172" t="s">
        <v>271</v>
      </c>
      <c r="N54" s="173" t="s">
        <v>272</v>
      </c>
      <c r="O54" s="245"/>
      <c r="P54" s="171" t="s">
        <v>478</v>
      </c>
      <c r="Q54" s="172" t="s">
        <v>268</v>
      </c>
      <c r="R54" s="172" t="s">
        <v>269</v>
      </c>
      <c r="S54" s="172" t="s">
        <v>270</v>
      </c>
      <c r="T54" s="172" t="s">
        <v>271</v>
      </c>
      <c r="U54" s="173" t="s">
        <v>272</v>
      </c>
      <c r="V54" s="141"/>
    </row>
    <row r="55" spans="1:22">
      <c r="A55" s="156" t="s">
        <v>206</v>
      </c>
      <c r="B55" s="103">
        <f>B8/B$46</f>
        <v>1.9047619047619047</v>
      </c>
      <c r="C55" s="103">
        <f t="shared" ref="B55:F58" si="11">C8/C$46</f>
        <v>2.8148148148148149</v>
      </c>
      <c r="D55" s="103">
        <f t="shared" si="11"/>
        <v>2.074074074074074</v>
      </c>
      <c r="E55" s="103">
        <f t="shared" si="11"/>
        <v>1.2727272727272727</v>
      </c>
      <c r="F55" s="103">
        <f t="shared" si="11"/>
        <v>2.8235294117647061</v>
      </c>
      <c r="G55" s="103"/>
      <c r="I55" s="174" t="s">
        <v>206</v>
      </c>
      <c r="J55" s="119">
        <v>1.1331444759206799</v>
      </c>
      <c r="K55" s="120">
        <v>1.9843342036553526</v>
      </c>
      <c r="L55" s="120">
        <v>1.462140992167102</v>
      </c>
      <c r="M55" s="120">
        <v>0.78212290502793302</v>
      </c>
      <c r="N55" s="121">
        <v>1.4414414414414416</v>
      </c>
      <c r="O55" s="246"/>
      <c r="P55" s="174" t="s">
        <v>206</v>
      </c>
      <c r="Q55" s="119">
        <v>1.7543859649122806</v>
      </c>
      <c r="R55" s="120">
        <v>3.333333333333333</v>
      </c>
      <c r="S55" s="120">
        <v>2.4561403508771931</v>
      </c>
      <c r="T55" s="120">
        <v>1.2280701754385965</v>
      </c>
      <c r="U55" s="121">
        <v>2.1052631578947367</v>
      </c>
    </row>
    <row r="56" spans="1:22">
      <c r="A56" s="156" t="s">
        <v>207</v>
      </c>
      <c r="B56" s="103">
        <f t="shared" si="11"/>
        <v>2.0952380952380953</v>
      </c>
      <c r="C56" s="103">
        <f t="shared" si="11"/>
        <v>1.037037037037037</v>
      </c>
      <c r="D56" s="103">
        <f t="shared" si="11"/>
        <v>1.4814814814814814</v>
      </c>
      <c r="E56" s="103">
        <f t="shared" si="11"/>
        <v>0</v>
      </c>
      <c r="F56" s="103">
        <f t="shared" si="11"/>
        <v>0.23529411764705882</v>
      </c>
      <c r="G56" s="103"/>
      <c r="I56" s="174" t="s">
        <v>207</v>
      </c>
      <c r="J56" s="124">
        <v>1.9909502262443437</v>
      </c>
      <c r="K56" s="125">
        <v>1.1155378486055776</v>
      </c>
      <c r="L56" s="125">
        <v>1.593625498007968</v>
      </c>
      <c r="M56" s="125">
        <v>0</v>
      </c>
      <c r="N56" s="126">
        <v>0.19900497512437809</v>
      </c>
      <c r="O56" s="246"/>
      <c r="P56" s="174" t="s">
        <v>207</v>
      </c>
      <c r="Q56" s="124">
        <v>1.9298245614035088</v>
      </c>
      <c r="R56" s="125">
        <v>1.2280701754385965</v>
      </c>
      <c r="S56" s="125">
        <v>1.7543859649122806</v>
      </c>
      <c r="T56" s="125">
        <v>0</v>
      </c>
      <c r="U56" s="126">
        <v>0.17543859649122806</v>
      </c>
    </row>
    <row r="57" spans="1:22">
      <c r="A57" s="156" t="s">
        <v>208</v>
      </c>
      <c r="B57" s="103">
        <f t="shared" si="11"/>
        <v>0</v>
      </c>
      <c r="C57" s="103">
        <f t="shared" si="11"/>
        <v>0</v>
      </c>
      <c r="D57" s="103">
        <f t="shared" si="11"/>
        <v>0.14814814814814814</v>
      </c>
      <c r="E57" s="103">
        <f t="shared" si="11"/>
        <v>2.1818181818181817</v>
      </c>
      <c r="F57" s="103">
        <f t="shared" si="11"/>
        <v>0.23529411764705882</v>
      </c>
      <c r="G57" s="103"/>
      <c r="I57" s="174" t="s">
        <v>208</v>
      </c>
      <c r="J57" s="124">
        <v>0</v>
      </c>
      <c r="K57" s="125">
        <v>0</v>
      </c>
      <c r="L57" s="125">
        <v>0.20942408376963348</v>
      </c>
      <c r="M57" s="125">
        <v>2.8915662650602405</v>
      </c>
      <c r="N57" s="126">
        <v>0.28368794326241137</v>
      </c>
      <c r="O57" s="246"/>
      <c r="P57" s="174" t="s">
        <v>208</v>
      </c>
      <c r="Q57" s="124">
        <v>0</v>
      </c>
      <c r="R57" s="125">
        <v>0</v>
      </c>
      <c r="S57" s="125">
        <v>0.17543859649122806</v>
      </c>
      <c r="T57" s="125">
        <v>2.1052631578947367</v>
      </c>
      <c r="U57" s="126">
        <v>0.17543859649122806</v>
      </c>
    </row>
    <row r="58" spans="1:22">
      <c r="A58" s="156" t="s">
        <v>209</v>
      </c>
      <c r="B58" s="103">
        <f t="shared" si="11"/>
        <v>0</v>
      </c>
      <c r="C58" s="103">
        <f t="shared" si="11"/>
        <v>0.14814814814814814</v>
      </c>
      <c r="D58" s="103">
        <f t="shared" si="11"/>
        <v>0.29629629629629628</v>
      </c>
      <c r="E58" s="103">
        <f t="shared" si="11"/>
        <v>0.54545454545454541</v>
      </c>
      <c r="F58" s="103">
        <f t="shared" si="11"/>
        <v>0.70588235294117652</v>
      </c>
      <c r="G58" s="103"/>
      <c r="I58" s="175" t="s">
        <v>209</v>
      </c>
      <c r="J58" s="132">
        <v>0</v>
      </c>
      <c r="K58" s="133">
        <v>0.23391812865497075</v>
      </c>
      <c r="L58" s="133">
        <v>0.46783625730994149</v>
      </c>
      <c r="M58" s="133">
        <v>0.82191780821917815</v>
      </c>
      <c r="N58" s="134">
        <v>0.99173553719008267</v>
      </c>
      <c r="O58" s="246"/>
      <c r="P58" s="175" t="s">
        <v>209</v>
      </c>
      <c r="Q58" s="132">
        <v>0</v>
      </c>
      <c r="R58" s="133">
        <v>0.17543859649122806</v>
      </c>
      <c r="S58" s="133">
        <v>0.35087719298245612</v>
      </c>
      <c r="T58" s="133">
        <v>0.52631578947368418</v>
      </c>
      <c r="U58" s="134">
        <v>0.52631578947368418</v>
      </c>
    </row>
    <row r="59" spans="1:22">
      <c r="A59" s="153"/>
      <c r="B59" s="103"/>
      <c r="C59" s="103"/>
      <c r="D59" s="103"/>
      <c r="E59" s="103"/>
      <c r="F59" s="103"/>
      <c r="G59" s="103"/>
    </row>
    <row r="60" spans="1:22" s="34" customFormat="1">
      <c r="A60" s="156" t="s">
        <v>360</v>
      </c>
      <c r="B60" s="153" t="s">
        <v>268</v>
      </c>
      <c r="C60" s="153" t="s">
        <v>269</v>
      </c>
      <c r="D60" s="153" t="s">
        <v>270</v>
      </c>
      <c r="E60" s="153" t="s">
        <v>271</v>
      </c>
      <c r="F60" s="153" t="s">
        <v>272</v>
      </c>
      <c r="G60" s="153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</row>
    <row r="61" spans="1:22">
      <c r="A61" s="156" t="s">
        <v>206</v>
      </c>
      <c r="B61" s="103">
        <f t="shared" ref="B61:F64" si="12">(2*B42)/($G42+B$46)</f>
        <v>1.1331444759206799</v>
      </c>
      <c r="C61" s="103">
        <f t="shared" si="12"/>
        <v>1.9843342036553526</v>
      </c>
      <c r="D61" s="103">
        <f t="shared" si="12"/>
        <v>1.462140992167102</v>
      </c>
      <c r="E61" s="103">
        <f t="shared" si="12"/>
        <v>0.78212290502793302</v>
      </c>
      <c r="F61" s="103">
        <f t="shared" si="12"/>
        <v>1.4414414414414416</v>
      </c>
      <c r="G61" s="103"/>
    </row>
    <row r="62" spans="1:22">
      <c r="A62" s="156" t="s">
        <v>207</v>
      </c>
      <c r="B62" s="103">
        <f t="shared" si="12"/>
        <v>1.9909502262443437</v>
      </c>
      <c r="C62" s="103">
        <f t="shared" si="12"/>
        <v>1.1155378486055776</v>
      </c>
      <c r="D62" s="103">
        <f t="shared" si="12"/>
        <v>1.593625498007968</v>
      </c>
      <c r="E62" s="103">
        <f t="shared" si="12"/>
        <v>0</v>
      </c>
      <c r="F62" s="103">
        <f t="shared" si="12"/>
        <v>0.19900497512437809</v>
      </c>
      <c r="G62" s="103"/>
    </row>
    <row r="63" spans="1:22">
      <c r="A63" s="156" t="s">
        <v>208</v>
      </c>
      <c r="B63" s="103">
        <f t="shared" si="12"/>
        <v>0</v>
      </c>
      <c r="C63" s="103">
        <f t="shared" si="12"/>
        <v>0</v>
      </c>
      <c r="D63" s="103">
        <f t="shared" si="12"/>
        <v>0.20942408376963348</v>
      </c>
      <c r="E63" s="103">
        <f t="shared" si="12"/>
        <v>2.8915662650602405</v>
      </c>
      <c r="F63" s="103">
        <f t="shared" si="12"/>
        <v>0.28368794326241137</v>
      </c>
      <c r="G63" s="103"/>
    </row>
    <row r="64" spans="1:22">
      <c r="A64" s="156" t="s">
        <v>209</v>
      </c>
      <c r="B64" s="103">
        <f t="shared" si="12"/>
        <v>0</v>
      </c>
      <c r="C64" s="103">
        <f t="shared" si="12"/>
        <v>0.23391812865497075</v>
      </c>
      <c r="D64" s="103">
        <f t="shared" si="12"/>
        <v>0.46783625730994149</v>
      </c>
      <c r="E64" s="103">
        <f t="shared" si="12"/>
        <v>0.82191780821917815</v>
      </c>
      <c r="F64" s="103">
        <f t="shared" si="12"/>
        <v>0.99173553719008267</v>
      </c>
      <c r="G64" s="103"/>
    </row>
    <row r="65" spans="1:22">
      <c r="A65" s="153"/>
      <c r="B65" s="103"/>
      <c r="C65" s="103"/>
      <c r="D65" s="103"/>
      <c r="E65" s="103"/>
      <c r="F65" s="103"/>
      <c r="G65" s="103"/>
    </row>
    <row r="66" spans="1:22" s="34" customFormat="1">
      <c r="A66" s="156" t="s">
        <v>361</v>
      </c>
      <c r="B66" s="153" t="s">
        <v>268</v>
      </c>
      <c r="C66" s="153" t="s">
        <v>269</v>
      </c>
      <c r="D66" s="153" t="s">
        <v>270</v>
      </c>
      <c r="E66" s="153" t="s">
        <v>271</v>
      </c>
      <c r="F66" s="153" t="s">
        <v>272</v>
      </c>
      <c r="G66" s="153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</row>
    <row r="67" spans="1:22">
      <c r="A67" s="156" t="s">
        <v>206</v>
      </c>
      <c r="B67" s="103">
        <f t="shared" ref="B67:F70" si="13">B8/$G$46</f>
        <v>1.7543859649122806</v>
      </c>
      <c r="C67" s="103">
        <f t="shared" si="13"/>
        <v>3.333333333333333</v>
      </c>
      <c r="D67" s="103">
        <f t="shared" si="13"/>
        <v>2.4561403508771931</v>
      </c>
      <c r="E67" s="103">
        <f t="shared" si="13"/>
        <v>1.2280701754385965</v>
      </c>
      <c r="F67" s="103">
        <f t="shared" si="13"/>
        <v>2.1052631578947367</v>
      </c>
      <c r="G67" s="103"/>
    </row>
    <row r="68" spans="1:22">
      <c r="A68" s="156" t="s">
        <v>207</v>
      </c>
      <c r="B68" s="103">
        <f t="shared" si="13"/>
        <v>1.9298245614035088</v>
      </c>
      <c r="C68" s="103">
        <f t="shared" si="13"/>
        <v>1.2280701754385965</v>
      </c>
      <c r="D68" s="103">
        <f t="shared" si="13"/>
        <v>1.7543859649122806</v>
      </c>
      <c r="E68" s="103">
        <f t="shared" si="13"/>
        <v>0</v>
      </c>
      <c r="F68" s="103">
        <f t="shared" si="13"/>
        <v>0.17543859649122806</v>
      </c>
      <c r="G68" s="103"/>
    </row>
    <row r="69" spans="1:22">
      <c r="A69" s="156" t="s">
        <v>208</v>
      </c>
      <c r="B69" s="103">
        <f t="shared" si="13"/>
        <v>0</v>
      </c>
      <c r="C69" s="103">
        <f t="shared" si="13"/>
        <v>0</v>
      </c>
      <c r="D69" s="103">
        <f t="shared" si="13"/>
        <v>0.17543859649122806</v>
      </c>
      <c r="E69" s="103">
        <f t="shared" si="13"/>
        <v>2.1052631578947367</v>
      </c>
      <c r="F69" s="103">
        <f t="shared" si="13"/>
        <v>0.17543859649122806</v>
      </c>
      <c r="G69" s="103"/>
    </row>
    <row r="70" spans="1:22">
      <c r="A70" s="156" t="s">
        <v>209</v>
      </c>
      <c r="B70" s="103">
        <f t="shared" si="13"/>
        <v>0</v>
      </c>
      <c r="C70" s="103">
        <f t="shared" si="13"/>
        <v>0.17543859649122806</v>
      </c>
      <c r="D70" s="103">
        <f t="shared" si="13"/>
        <v>0.35087719298245612</v>
      </c>
      <c r="E70" s="103">
        <f t="shared" si="13"/>
        <v>0.52631578947368418</v>
      </c>
      <c r="F70" s="103">
        <f t="shared" si="13"/>
        <v>0.52631578947368418</v>
      </c>
      <c r="G70" s="103"/>
    </row>
    <row r="71" spans="1:22">
      <c r="A71" s="156"/>
      <c r="B71" s="103"/>
      <c r="C71" s="103"/>
      <c r="D71" s="103"/>
      <c r="E71" s="103"/>
      <c r="F71" s="103"/>
      <c r="G71" s="103"/>
    </row>
    <row r="72" spans="1:22">
      <c r="B72" s="103"/>
      <c r="C72" s="103"/>
      <c r="D72" s="103"/>
      <c r="E72" s="103"/>
      <c r="F72" s="103"/>
      <c r="G72" s="103"/>
    </row>
    <row r="73" spans="1:22">
      <c r="A73" s="151" t="s">
        <v>362</v>
      </c>
      <c r="B73" s="103"/>
      <c r="C73" s="103"/>
      <c r="D73" s="103"/>
      <c r="E73" s="103"/>
      <c r="F73" s="103"/>
      <c r="G73" s="103"/>
    </row>
    <row r="74" spans="1:22">
      <c r="A74" s="156"/>
      <c r="B74" s="103"/>
      <c r="C74" s="103"/>
      <c r="D74" s="103"/>
      <c r="E74" s="103"/>
      <c r="F74" s="103"/>
      <c r="G74" s="103"/>
    </row>
    <row r="75" spans="1:22" s="34" customFormat="1">
      <c r="A75" s="171" t="s">
        <v>357</v>
      </c>
      <c r="B75" s="341" t="s">
        <v>268</v>
      </c>
      <c r="C75" s="341" t="s">
        <v>269</v>
      </c>
      <c r="D75" s="341" t="s">
        <v>270</v>
      </c>
      <c r="E75" s="341" t="s">
        <v>271</v>
      </c>
      <c r="F75" s="342" t="s">
        <v>272</v>
      </c>
      <c r="G75" s="153" t="s">
        <v>230</v>
      </c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</row>
    <row r="76" spans="1:22">
      <c r="A76" s="174" t="s">
        <v>275</v>
      </c>
      <c r="B76" s="88">
        <v>10</v>
      </c>
      <c r="C76" s="89">
        <v>19</v>
      </c>
      <c r="D76" s="89">
        <v>14</v>
      </c>
      <c r="E76" s="89">
        <v>7</v>
      </c>
      <c r="F76" s="90">
        <v>12</v>
      </c>
      <c r="G76" s="103">
        <f>AVERAGE(B76:F76)</f>
        <v>12.4</v>
      </c>
    </row>
    <row r="77" spans="1:22">
      <c r="A77" s="174" t="s">
        <v>207</v>
      </c>
      <c r="B77" s="92">
        <v>11</v>
      </c>
      <c r="C77" s="93">
        <v>7</v>
      </c>
      <c r="D77" s="93">
        <v>10</v>
      </c>
      <c r="E77" s="93">
        <v>0</v>
      </c>
      <c r="F77" s="94">
        <v>1</v>
      </c>
      <c r="G77" s="103">
        <f t="shared" ref="G77:G79" si="14">AVERAGE(B77:F77)</f>
        <v>5.8</v>
      </c>
    </row>
    <row r="78" spans="1:22">
      <c r="A78" s="174" t="s">
        <v>208</v>
      </c>
      <c r="B78" s="92">
        <v>0</v>
      </c>
      <c r="C78" s="93">
        <v>0</v>
      </c>
      <c r="D78" s="93">
        <v>1</v>
      </c>
      <c r="E78" s="93">
        <v>12</v>
      </c>
      <c r="F78" s="94">
        <v>1</v>
      </c>
      <c r="G78" s="103">
        <f t="shared" si="14"/>
        <v>2.8</v>
      </c>
    </row>
    <row r="79" spans="1:22">
      <c r="A79" s="175" t="s">
        <v>209</v>
      </c>
      <c r="B79" s="95">
        <v>0</v>
      </c>
      <c r="C79" s="96">
        <v>1</v>
      </c>
      <c r="D79" s="96">
        <v>2</v>
      </c>
      <c r="E79" s="96">
        <v>3</v>
      </c>
      <c r="F79" s="97">
        <v>3</v>
      </c>
      <c r="G79" s="103">
        <f t="shared" si="14"/>
        <v>1.8</v>
      </c>
    </row>
    <row r="80" spans="1:22">
      <c r="A80" s="140" t="s">
        <v>351</v>
      </c>
      <c r="B80" s="103">
        <f>AVERAGE(B76:B79)</f>
        <v>5.25</v>
      </c>
      <c r="C80" s="103">
        <f t="shared" ref="C80:F80" si="15">AVERAGE(C76:C79)</f>
        <v>6.75</v>
      </c>
      <c r="D80" s="103">
        <f t="shared" si="15"/>
        <v>6.75</v>
      </c>
      <c r="E80" s="103">
        <f t="shared" si="15"/>
        <v>5.5</v>
      </c>
      <c r="F80" s="103">
        <f t="shared" si="15"/>
        <v>4.25</v>
      </c>
      <c r="G80" s="154">
        <f>AVERAGE(B76:F79)</f>
        <v>5.7</v>
      </c>
    </row>
    <row r="81" spans="1:22">
      <c r="A81" s="153"/>
      <c r="B81" s="103"/>
      <c r="C81" s="103"/>
      <c r="D81" s="103"/>
      <c r="E81" s="103"/>
      <c r="F81" s="103"/>
      <c r="G81" s="103"/>
    </row>
    <row r="82" spans="1:22" s="34" customFormat="1">
      <c r="A82" s="156" t="s">
        <v>363</v>
      </c>
      <c r="B82" s="153" t="s">
        <v>268</v>
      </c>
      <c r="C82" s="153" t="s">
        <v>269</v>
      </c>
      <c r="D82" s="153" t="s">
        <v>270</v>
      </c>
      <c r="E82" s="153" t="s">
        <v>271</v>
      </c>
      <c r="F82" s="153" t="s">
        <v>272</v>
      </c>
      <c r="G82" s="103"/>
      <c r="H82" s="141"/>
      <c r="I82" s="247" t="s">
        <v>479</v>
      </c>
      <c r="J82" s="232" t="s">
        <v>268</v>
      </c>
      <c r="K82" s="232" t="s">
        <v>269</v>
      </c>
      <c r="L82" s="232" t="s">
        <v>270</v>
      </c>
      <c r="M82" s="232" t="s">
        <v>271</v>
      </c>
      <c r="N82" s="233" t="s">
        <v>272</v>
      </c>
      <c r="O82" s="141"/>
      <c r="P82" s="171" t="s">
        <v>481</v>
      </c>
      <c r="Q82" s="172" t="s">
        <v>268</v>
      </c>
      <c r="R82" s="172" t="s">
        <v>269</v>
      </c>
      <c r="S82" s="172" t="s">
        <v>270</v>
      </c>
      <c r="T82" s="172" t="s">
        <v>271</v>
      </c>
      <c r="U82" s="173" t="s">
        <v>272</v>
      </c>
      <c r="V82" s="141"/>
    </row>
    <row r="83" spans="1:22">
      <c r="A83" s="156" t="s">
        <v>206</v>
      </c>
      <c r="B83" s="103">
        <f t="shared" ref="B83:F86" si="16">(B76-$G76)/$G76</f>
        <v>-0.19354838709677422</v>
      </c>
      <c r="C83" s="103">
        <f t="shared" si="16"/>
        <v>0.532258064516129</v>
      </c>
      <c r="D83" s="103">
        <f t="shared" si="16"/>
        <v>0.1290322580645161</v>
      </c>
      <c r="E83" s="103">
        <f t="shared" si="16"/>
        <v>-0.43548387096774194</v>
      </c>
      <c r="F83" s="103">
        <f t="shared" si="16"/>
        <v>-3.2258064516129059E-2</v>
      </c>
      <c r="G83" s="103"/>
      <c r="I83" s="234" t="s">
        <v>206</v>
      </c>
      <c r="J83" s="235">
        <v>-0.19354838709677422</v>
      </c>
      <c r="K83" s="236">
        <v>0.532258064516129</v>
      </c>
      <c r="L83" s="236">
        <v>0.1290322580645161</v>
      </c>
      <c r="M83" s="236">
        <v>-0.43548387096774194</v>
      </c>
      <c r="N83" s="237">
        <v>-3.2258064516129059E-2</v>
      </c>
      <c r="P83" s="174" t="s">
        <v>206</v>
      </c>
      <c r="Q83" s="235">
        <v>0.90476190476190477</v>
      </c>
      <c r="R83" s="236">
        <v>1.8148148148148149</v>
      </c>
      <c r="S83" s="236">
        <v>1.0740740740740742</v>
      </c>
      <c r="T83" s="236">
        <v>0.27272727272727271</v>
      </c>
      <c r="U83" s="237">
        <v>1.8235294117647058</v>
      </c>
    </row>
    <row r="84" spans="1:22">
      <c r="A84" s="156" t="s">
        <v>207</v>
      </c>
      <c r="B84" s="103">
        <f t="shared" si="16"/>
        <v>0.89655172413793105</v>
      </c>
      <c r="C84" s="103">
        <f t="shared" si="16"/>
        <v>0.20689655172413796</v>
      </c>
      <c r="D84" s="103">
        <f t="shared" si="16"/>
        <v>0.72413793103448276</v>
      </c>
      <c r="E84" s="103">
        <f t="shared" si="16"/>
        <v>-1</v>
      </c>
      <c r="F84" s="103">
        <f t="shared" si="16"/>
        <v>-0.82758620689655171</v>
      </c>
      <c r="G84" s="103"/>
      <c r="I84" s="234" t="s">
        <v>207</v>
      </c>
      <c r="J84" s="238">
        <v>0.89655172413793105</v>
      </c>
      <c r="K84" s="239">
        <v>0.20689655172413796</v>
      </c>
      <c r="L84" s="239">
        <v>0.72413793103448276</v>
      </c>
      <c r="M84" s="239">
        <v>-1</v>
      </c>
      <c r="N84" s="240">
        <v>-0.82758620689655171</v>
      </c>
      <c r="P84" s="174" t="s">
        <v>207</v>
      </c>
      <c r="Q84" s="238">
        <v>1.0952380952380953</v>
      </c>
      <c r="R84" s="239">
        <v>3.7037037037037035E-2</v>
      </c>
      <c r="S84" s="239">
        <v>0.48148148148148145</v>
      </c>
      <c r="T84" s="239">
        <v>-1</v>
      </c>
      <c r="U84" s="240">
        <v>-0.76470588235294112</v>
      </c>
    </row>
    <row r="85" spans="1:22">
      <c r="A85" s="156" t="s">
        <v>208</v>
      </c>
      <c r="B85" s="103">
        <f t="shared" si="16"/>
        <v>-1</v>
      </c>
      <c r="C85" s="103">
        <f t="shared" si="16"/>
        <v>-1</v>
      </c>
      <c r="D85" s="103">
        <f t="shared" si="16"/>
        <v>-0.64285714285714279</v>
      </c>
      <c r="E85" s="103">
        <f t="shared" si="16"/>
        <v>3.2857142857142856</v>
      </c>
      <c r="F85" s="103">
        <f t="shared" si="16"/>
        <v>-0.64285714285714279</v>
      </c>
      <c r="G85" s="103"/>
      <c r="I85" s="234" t="s">
        <v>208</v>
      </c>
      <c r="J85" s="238">
        <v>-1</v>
      </c>
      <c r="K85" s="239">
        <v>-1</v>
      </c>
      <c r="L85" s="239">
        <v>-0.64285714285714279</v>
      </c>
      <c r="M85" s="239">
        <v>3.2857142857142856</v>
      </c>
      <c r="N85" s="240">
        <v>-0.64285714285714279</v>
      </c>
      <c r="P85" s="174" t="s">
        <v>208</v>
      </c>
      <c r="Q85" s="238">
        <v>-1</v>
      </c>
      <c r="R85" s="239">
        <v>-1</v>
      </c>
      <c r="S85" s="239">
        <v>-0.85185185185185186</v>
      </c>
      <c r="T85" s="239">
        <v>1.1818181818181819</v>
      </c>
      <c r="U85" s="240">
        <v>-0.76470588235294112</v>
      </c>
    </row>
    <row r="86" spans="1:22">
      <c r="A86" s="156" t="s">
        <v>209</v>
      </c>
      <c r="B86" s="103">
        <f t="shared" si="16"/>
        <v>-1</v>
      </c>
      <c r="C86" s="103">
        <f t="shared" si="16"/>
        <v>-0.44444444444444448</v>
      </c>
      <c r="D86" s="103">
        <f t="shared" si="16"/>
        <v>0.11111111111111108</v>
      </c>
      <c r="E86" s="103">
        <f t="shared" si="16"/>
        <v>0.66666666666666663</v>
      </c>
      <c r="F86" s="103">
        <f t="shared" si="16"/>
        <v>0.66666666666666663</v>
      </c>
      <c r="G86" s="103"/>
      <c r="I86" s="241" t="s">
        <v>209</v>
      </c>
      <c r="J86" s="242">
        <v>-1</v>
      </c>
      <c r="K86" s="243">
        <v>-0.44444444444444448</v>
      </c>
      <c r="L86" s="243">
        <v>0.11111111111111108</v>
      </c>
      <c r="M86" s="243">
        <v>0.66666666666666663</v>
      </c>
      <c r="N86" s="244">
        <v>0.66666666666666663</v>
      </c>
      <c r="P86" s="175" t="s">
        <v>209</v>
      </c>
      <c r="Q86" s="242">
        <v>-1</v>
      </c>
      <c r="R86" s="243">
        <v>-0.85185185185185186</v>
      </c>
      <c r="S86" s="243">
        <v>-0.70370370370370372</v>
      </c>
      <c r="T86" s="243">
        <v>-0.45454545454545453</v>
      </c>
      <c r="U86" s="244">
        <v>-0.29411764705882354</v>
      </c>
    </row>
    <row r="87" spans="1:22">
      <c r="A87" s="156"/>
      <c r="B87" s="103"/>
      <c r="C87" s="103"/>
      <c r="D87" s="103"/>
      <c r="E87" s="103"/>
      <c r="F87" s="103"/>
      <c r="G87" s="103"/>
    </row>
    <row r="88" spans="1:22" s="34" customFormat="1">
      <c r="A88" s="156" t="s">
        <v>364</v>
      </c>
      <c r="B88" s="153" t="s">
        <v>268</v>
      </c>
      <c r="C88" s="153" t="s">
        <v>269</v>
      </c>
      <c r="D88" s="153" t="s">
        <v>270</v>
      </c>
      <c r="E88" s="153" t="s">
        <v>271</v>
      </c>
      <c r="F88" s="153" t="s">
        <v>272</v>
      </c>
      <c r="G88" s="153"/>
      <c r="H88" s="141"/>
      <c r="I88" s="171" t="s">
        <v>480</v>
      </c>
      <c r="J88" s="172" t="s">
        <v>268</v>
      </c>
      <c r="K88" s="172" t="s">
        <v>269</v>
      </c>
      <c r="L88" s="172" t="s">
        <v>270</v>
      </c>
      <c r="M88" s="172" t="s">
        <v>271</v>
      </c>
      <c r="N88" s="173" t="s">
        <v>272</v>
      </c>
      <c r="O88" s="85"/>
      <c r="P88" s="171" t="s">
        <v>482</v>
      </c>
      <c r="Q88" s="172" t="s">
        <v>268</v>
      </c>
      <c r="R88" s="172" t="s">
        <v>269</v>
      </c>
      <c r="S88" s="172" t="s">
        <v>270</v>
      </c>
      <c r="T88" s="172" t="s">
        <v>271</v>
      </c>
      <c r="U88" s="173" t="s">
        <v>272</v>
      </c>
      <c r="V88" s="141"/>
    </row>
    <row r="89" spans="1:22">
      <c r="A89" s="156" t="s">
        <v>206</v>
      </c>
      <c r="B89" s="103">
        <f t="shared" ref="B89:F92" si="17">(B76-B$80)/B$80</f>
        <v>0.90476190476190477</v>
      </c>
      <c r="C89" s="103">
        <f t="shared" si="17"/>
        <v>1.8148148148148149</v>
      </c>
      <c r="D89" s="103">
        <f t="shared" si="17"/>
        <v>1.0740740740740742</v>
      </c>
      <c r="E89" s="103">
        <f t="shared" si="17"/>
        <v>0.27272727272727271</v>
      </c>
      <c r="F89" s="103">
        <f t="shared" si="17"/>
        <v>1.8235294117647058</v>
      </c>
      <c r="G89" s="103"/>
      <c r="I89" s="174" t="s">
        <v>206</v>
      </c>
      <c r="J89" s="235">
        <v>0.13314447592067988</v>
      </c>
      <c r="K89" s="236">
        <v>0.98433420365535262</v>
      </c>
      <c r="L89" s="236">
        <v>0.46214099216710186</v>
      </c>
      <c r="M89" s="236">
        <v>-0.21787709497206709</v>
      </c>
      <c r="N89" s="237">
        <v>0.44144144144144148</v>
      </c>
      <c r="O89" s="29"/>
      <c r="P89" s="174" t="s">
        <v>206</v>
      </c>
      <c r="Q89" s="235">
        <v>0.7543859649122806</v>
      </c>
      <c r="R89" s="236">
        <v>2.3333333333333335</v>
      </c>
      <c r="S89" s="236">
        <v>1.4561403508771931</v>
      </c>
      <c r="T89" s="236">
        <v>0.22807017543859645</v>
      </c>
      <c r="U89" s="237">
        <v>1.1052631578947367</v>
      </c>
    </row>
    <row r="90" spans="1:22">
      <c r="A90" s="156" t="s">
        <v>207</v>
      </c>
      <c r="B90" s="103">
        <f t="shared" si="17"/>
        <v>1.0952380952380953</v>
      </c>
      <c r="C90" s="103">
        <f t="shared" si="17"/>
        <v>3.7037037037037035E-2</v>
      </c>
      <c r="D90" s="103">
        <f t="shared" si="17"/>
        <v>0.48148148148148145</v>
      </c>
      <c r="E90" s="103">
        <f t="shared" si="17"/>
        <v>-1</v>
      </c>
      <c r="F90" s="103">
        <f t="shared" si="17"/>
        <v>-0.76470588235294112</v>
      </c>
      <c r="G90" s="103"/>
      <c r="I90" s="174" t="s">
        <v>207</v>
      </c>
      <c r="J90" s="238">
        <v>0.99095022624434381</v>
      </c>
      <c r="K90" s="239">
        <v>0.11553784860557763</v>
      </c>
      <c r="L90" s="239">
        <v>0.59362549800796804</v>
      </c>
      <c r="M90" s="239">
        <v>-1</v>
      </c>
      <c r="N90" s="240">
        <v>-0.80099502487562191</v>
      </c>
      <c r="O90" s="29"/>
      <c r="P90" s="174" t="s">
        <v>207</v>
      </c>
      <c r="Q90" s="238">
        <v>0.92982456140350866</v>
      </c>
      <c r="R90" s="239">
        <v>0.22807017543859645</v>
      </c>
      <c r="S90" s="239">
        <v>0.7543859649122806</v>
      </c>
      <c r="T90" s="239">
        <v>-1</v>
      </c>
      <c r="U90" s="240">
        <v>-0.82456140350877194</v>
      </c>
    </row>
    <row r="91" spans="1:22">
      <c r="A91" s="156" t="s">
        <v>208</v>
      </c>
      <c r="B91" s="103">
        <f t="shared" si="17"/>
        <v>-1</v>
      </c>
      <c r="C91" s="103">
        <f t="shared" si="17"/>
        <v>-1</v>
      </c>
      <c r="D91" s="103">
        <f t="shared" si="17"/>
        <v>-0.85185185185185186</v>
      </c>
      <c r="E91" s="103">
        <f t="shared" si="17"/>
        <v>1.1818181818181819</v>
      </c>
      <c r="F91" s="103">
        <f t="shared" si="17"/>
        <v>-0.76470588235294112</v>
      </c>
      <c r="G91" s="103"/>
      <c r="I91" s="174" t="s">
        <v>208</v>
      </c>
      <c r="J91" s="238">
        <v>-1</v>
      </c>
      <c r="K91" s="239">
        <v>-1</v>
      </c>
      <c r="L91" s="239">
        <v>-0.79057591623036638</v>
      </c>
      <c r="M91" s="239">
        <v>1.8915662650602407</v>
      </c>
      <c r="N91" s="240">
        <v>-0.71631205673758869</v>
      </c>
      <c r="O91" s="29"/>
      <c r="P91" s="174" t="s">
        <v>208</v>
      </c>
      <c r="Q91" s="238">
        <v>-1</v>
      </c>
      <c r="R91" s="239">
        <v>-1</v>
      </c>
      <c r="S91" s="239">
        <v>-0.82456140350877194</v>
      </c>
      <c r="T91" s="239">
        <v>1.1052631578947367</v>
      </c>
      <c r="U91" s="240">
        <v>-0.82456140350877194</v>
      </c>
    </row>
    <row r="92" spans="1:22">
      <c r="A92" s="156" t="s">
        <v>209</v>
      </c>
      <c r="B92" s="103">
        <f t="shared" si="17"/>
        <v>-1</v>
      </c>
      <c r="C92" s="103">
        <f t="shared" si="17"/>
        <v>-0.85185185185185186</v>
      </c>
      <c r="D92" s="103">
        <f t="shared" si="17"/>
        <v>-0.70370370370370372</v>
      </c>
      <c r="E92" s="103">
        <f t="shared" si="17"/>
        <v>-0.45454545454545453</v>
      </c>
      <c r="F92" s="103">
        <f t="shared" si="17"/>
        <v>-0.29411764705882354</v>
      </c>
      <c r="G92" s="103"/>
      <c r="I92" s="175" t="s">
        <v>209</v>
      </c>
      <c r="J92" s="242">
        <v>-1</v>
      </c>
      <c r="K92" s="243">
        <v>-0.76608187134502914</v>
      </c>
      <c r="L92" s="243">
        <v>-0.53216374269005839</v>
      </c>
      <c r="M92" s="243">
        <v>-0.17808219178082191</v>
      </c>
      <c r="N92" s="244">
        <v>-8.2644628099173261E-3</v>
      </c>
      <c r="O92" s="29"/>
      <c r="P92" s="175" t="s">
        <v>209</v>
      </c>
      <c r="Q92" s="242">
        <v>-1</v>
      </c>
      <c r="R92" s="243">
        <v>-0.82456140350877194</v>
      </c>
      <c r="S92" s="243">
        <v>-0.64912280701754388</v>
      </c>
      <c r="T92" s="243">
        <v>-0.47368421052631582</v>
      </c>
      <c r="U92" s="244">
        <v>-0.47368421052631582</v>
      </c>
    </row>
    <row r="93" spans="1:22">
      <c r="A93" s="156"/>
      <c r="B93" s="103"/>
      <c r="C93" s="103"/>
      <c r="D93" s="103"/>
      <c r="E93" s="103"/>
      <c r="F93" s="103"/>
      <c r="G93" s="103"/>
    </row>
    <row r="94" spans="1:22" s="34" customFormat="1">
      <c r="A94" s="156" t="s">
        <v>365</v>
      </c>
      <c r="B94" s="153" t="s">
        <v>268</v>
      </c>
      <c r="C94" s="153" t="s">
        <v>269</v>
      </c>
      <c r="D94" s="153" t="s">
        <v>270</v>
      </c>
      <c r="E94" s="153" t="s">
        <v>271</v>
      </c>
      <c r="F94" s="153" t="s">
        <v>272</v>
      </c>
      <c r="G94" s="153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</row>
    <row r="95" spans="1:22">
      <c r="A95" s="156" t="s">
        <v>206</v>
      </c>
      <c r="B95" s="103">
        <f t="shared" ref="B95:F98" si="18">(2*B76-$G76-B$80)/($G76+B$80)</f>
        <v>0.13314447592067988</v>
      </c>
      <c r="C95" s="103">
        <f t="shared" si="18"/>
        <v>0.98433420365535262</v>
      </c>
      <c r="D95" s="103">
        <f t="shared" si="18"/>
        <v>0.46214099216710186</v>
      </c>
      <c r="E95" s="103">
        <f t="shared" si="18"/>
        <v>-0.21787709497206709</v>
      </c>
      <c r="F95" s="103">
        <f t="shared" si="18"/>
        <v>0.44144144144144148</v>
      </c>
      <c r="G95" s="103"/>
    </row>
    <row r="96" spans="1:22">
      <c r="A96" s="156" t="s">
        <v>207</v>
      </c>
      <c r="B96" s="103">
        <f t="shared" si="18"/>
        <v>0.99095022624434381</v>
      </c>
      <c r="C96" s="103">
        <f t="shared" si="18"/>
        <v>0.11553784860557763</v>
      </c>
      <c r="D96" s="103">
        <f t="shared" si="18"/>
        <v>0.59362549800796804</v>
      </c>
      <c r="E96" s="103">
        <f t="shared" si="18"/>
        <v>-1</v>
      </c>
      <c r="F96" s="103">
        <f t="shared" si="18"/>
        <v>-0.80099502487562191</v>
      </c>
      <c r="G96" s="103"/>
    </row>
    <row r="97" spans="1:22">
      <c r="A97" s="156" t="s">
        <v>208</v>
      </c>
      <c r="B97" s="103">
        <f t="shared" si="18"/>
        <v>-1</v>
      </c>
      <c r="C97" s="103">
        <f t="shared" si="18"/>
        <v>-1</v>
      </c>
      <c r="D97" s="103">
        <f t="shared" si="18"/>
        <v>-0.79057591623036638</v>
      </c>
      <c r="E97" s="103">
        <f t="shared" si="18"/>
        <v>1.8915662650602407</v>
      </c>
      <c r="F97" s="103">
        <f t="shared" si="18"/>
        <v>-0.71631205673758869</v>
      </c>
      <c r="G97" s="103"/>
    </row>
    <row r="98" spans="1:22">
      <c r="A98" s="156" t="s">
        <v>209</v>
      </c>
      <c r="B98" s="103">
        <f t="shared" si="18"/>
        <v>-1</v>
      </c>
      <c r="C98" s="103">
        <f t="shared" si="18"/>
        <v>-0.76608187134502914</v>
      </c>
      <c r="D98" s="103">
        <f t="shared" si="18"/>
        <v>-0.53216374269005839</v>
      </c>
      <c r="E98" s="103">
        <f t="shared" si="18"/>
        <v>-0.17808219178082191</v>
      </c>
      <c r="F98" s="103">
        <f t="shared" si="18"/>
        <v>-8.2644628099173261E-3</v>
      </c>
      <c r="G98" s="103"/>
    </row>
    <row r="99" spans="1:22">
      <c r="A99" s="156"/>
      <c r="B99" s="103"/>
      <c r="C99" s="103"/>
      <c r="D99" s="103"/>
      <c r="E99" s="103"/>
      <c r="F99" s="103"/>
      <c r="G99" s="103"/>
    </row>
    <row r="100" spans="1:22" s="34" customFormat="1">
      <c r="A100" s="156" t="s">
        <v>366</v>
      </c>
      <c r="B100" s="153" t="s">
        <v>268</v>
      </c>
      <c r="C100" s="153" t="s">
        <v>269</v>
      </c>
      <c r="D100" s="153" t="s">
        <v>270</v>
      </c>
      <c r="E100" s="153" t="s">
        <v>271</v>
      </c>
      <c r="F100" s="153" t="s">
        <v>272</v>
      </c>
      <c r="G100" s="153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</row>
    <row r="101" spans="1:22">
      <c r="A101" s="156" t="s">
        <v>206</v>
      </c>
      <c r="B101" s="103">
        <f t="shared" ref="B101:F104" si="19">(B76-$G$80)/$G$80</f>
        <v>0.7543859649122806</v>
      </c>
      <c r="C101" s="103">
        <f t="shared" si="19"/>
        <v>2.3333333333333335</v>
      </c>
      <c r="D101" s="103">
        <f t="shared" si="19"/>
        <v>1.4561403508771931</v>
      </c>
      <c r="E101" s="103">
        <f t="shared" si="19"/>
        <v>0.22807017543859645</v>
      </c>
      <c r="F101" s="103">
        <f t="shared" si="19"/>
        <v>1.1052631578947367</v>
      </c>
      <c r="G101" s="103"/>
    </row>
    <row r="102" spans="1:22">
      <c r="A102" s="156" t="s">
        <v>207</v>
      </c>
      <c r="B102" s="103">
        <f t="shared" si="19"/>
        <v>0.92982456140350866</v>
      </c>
      <c r="C102" s="103">
        <f t="shared" si="19"/>
        <v>0.22807017543859645</v>
      </c>
      <c r="D102" s="103">
        <f t="shared" si="19"/>
        <v>0.7543859649122806</v>
      </c>
      <c r="E102" s="103">
        <f t="shared" si="19"/>
        <v>-1</v>
      </c>
      <c r="F102" s="103">
        <f t="shared" si="19"/>
        <v>-0.82456140350877194</v>
      </c>
      <c r="G102" s="103"/>
    </row>
    <row r="103" spans="1:22">
      <c r="A103" s="156" t="s">
        <v>208</v>
      </c>
      <c r="B103" s="103">
        <f t="shared" si="19"/>
        <v>-1</v>
      </c>
      <c r="C103" s="103">
        <f t="shared" si="19"/>
        <v>-1</v>
      </c>
      <c r="D103" s="103">
        <f t="shared" si="19"/>
        <v>-0.82456140350877194</v>
      </c>
      <c r="E103" s="103">
        <f t="shared" si="19"/>
        <v>1.1052631578947367</v>
      </c>
      <c r="F103" s="103">
        <f t="shared" si="19"/>
        <v>-0.82456140350877194</v>
      </c>
      <c r="G103" s="103"/>
    </row>
    <row r="104" spans="1:22">
      <c r="A104" s="156" t="s">
        <v>209</v>
      </c>
      <c r="B104" s="103">
        <f t="shared" si="19"/>
        <v>-1</v>
      </c>
      <c r="C104" s="103">
        <f t="shared" si="19"/>
        <v>-0.82456140350877194</v>
      </c>
      <c r="D104" s="103">
        <f t="shared" si="19"/>
        <v>-0.64912280701754388</v>
      </c>
      <c r="E104" s="103">
        <f t="shared" si="19"/>
        <v>-0.47368421052631582</v>
      </c>
      <c r="F104" s="103">
        <f t="shared" si="19"/>
        <v>-0.47368421052631582</v>
      </c>
      <c r="G104" s="103"/>
    </row>
    <row r="105" spans="1:22">
      <c r="A105" s="156"/>
      <c r="B105" s="103"/>
      <c r="C105" s="103"/>
      <c r="D105" s="103"/>
      <c r="E105" s="103"/>
      <c r="F105" s="103"/>
      <c r="G105" s="103"/>
    </row>
    <row r="106" spans="1:22">
      <c r="B106" s="103"/>
      <c r="C106" s="103"/>
      <c r="D106" s="103"/>
      <c r="E106" s="103"/>
      <c r="F106" s="103"/>
      <c r="G106" s="103"/>
    </row>
    <row r="107" spans="1:22">
      <c r="A107" s="151" t="s">
        <v>367</v>
      </c>
      <c r="B107" s="103"/>
      <c r="C107" s="103"/>
      <c r="D107" s="103"/>
      <c r="E107" s="103"/>
      <c r="F107" s="103"/>
      <c r="G107" s="103"/>
    </row>
    <row r="108" spans="1:22">
      <c r="A108" s="140"/>
      <c r="B108" s="103"/>
      <c r="C108" s="103"/>
      <c r="D108" s="103"/>
      <c r="E108" s="103"/>
      <c r="F108" s="103"/>
      <c r="G108" s="103"/>
    </row>
    <row r="109" spans="1:22">
      <c r="A109" s="152" t="s">
        <v>368</v>
      </c>
      <c r="B109" s="103"/>
      <c r="C109" s="103"/>
      <c r="D109" s="103"/>
      <c r="E109" s="103"/>
      <c r="F109" s="103"/>
      <c r="G109" s="103"/>
    </row>
    <row r="110" spans="1:22">
      <c r="A110" s="140"/>
      <c r="B110" s="103"/>
      <c r="C110" s="103"/>
      <c r="D110" s="103"/>
      <c r="E110" s="103"/>
      <c r="F110" s="103"/>
      <c r="G110" s="103"/>
    </row>
    <row r="111" spans="1:22" s="34" customFormat="1">
      <c r="A111" s="171" t="s">
        <v>369</v>
      </c>
      <c r="B111" s="341" t="s">
        <v>268</v>
      </c>
      <c r="C111" s="341" t="s">
        <v>269</v>
      </c>
      <c r="D111" s="341" t="s">
        <v>270</v>
      </c>
      <c r="E111" s="341" t="s">
        <v>271</v>
      </c>
      <c r="F111" s="342" t="s">
        <v>272</v>
      </c>
      <c r="G111" s="153" t="s">
        <v>370</v>
      </c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</row>
    <row r="112" spans="1:22">
      <c r="A112" s="174" t="s">
        <v>206</v>
      </c>
      <c r="B112" s="88">
        <v>10</v>
      </c>
      <c r="C112" s="89">
        <v>19</v>
      </c>
      <c r="D112" s="89">
        <v>14</v>
      </c>
      <c r="E112" s="89">
        <v>7</v>
      </c>
      <c r="F112" s="90">
        <v>12</v>
      </c>
      <c r="G112" s="103">
        <f>MEDIAN(B112:F112)</f>
        <v>12</v>
      </c>
    </row>
    <row r="113" spans="1:22">
      <c r="A113" s="174" t="s">
        <v>207</v>
      </c>
      <c r="B113" s="92">
        <v>11</v>
      </c>
      <c r="C113" s="93">
        <v>7</v>
      </c>
      <c r="D113" s="93">
        <v>10</v>
      </c>
      <c r="E113" s="93">
        <v>0</v>
      </c>
      <c r="F113" s="94">
        <v>1</v>
      </c>
      <c r="G113" s="103">
        <f t="shared" ref="G113:G115" si="20">MEDIAN(B113:F113)</f>
        <v>7</v>
      </c>
    </row>
    <row r="114" spans="1:22">
      <c r="A114" s="174" t="s">
        <v>208</v>
      </c>
      <c r="B114" s="92">
        <v>0</v>
      </c>
      <c r="C114" s="93">
        <v>0</v>
      </c>
      <c r="D114" s="93">
        <v>1</v>
      </c>
      <c r="E114" s="93">
        <v>12</v>
      </c>
      <c r="F114" s="94">
        <v>1</v>
      </c>
      <c r="G114" s="103">
        <f t="shared" si="20"/>
        <v>1</v>
      </c>
    </row>
    <row r="115" spans="1:22">
      <c r="A115" s="175" t="s">
        <v>209</v>
      </c>
      <c r="B115" s="95">
        <v>0</v>
      </c>
      <c r="C115" s="96">
        <v>1</v>
      </c>
      <c r="D115" s="96">
        <v>2</v>
      </c>
      <c r="E115" s="96">
        <v>3</v>
      </c>
      <c r="F115" s="97">
        <v>3</v>
      </c>
      <c r="G115" s="103">
        <f t="shared" si="20"/>
        <v>2</v>
      </c>
    </row>
    <row r="116" spans="1:22">
      <c r="A116" s="140" t="s">
        <v>371</v>
      </c>
      <c r="B116" s="103">
        <f>MEDIAN(B112:B115)</f>
        <v>5</v>
      </c>
      <c r="C116" s="103">
        <f t="shared" ref="C116:F116" si="21">MEDIAN(C112:C115)</f>
        <v>4</v>
      </c>
      <c r="D116" s="103">
        <f t="shared" si="21"/>
        <v>6</v>
      </c>
      <c r="E116" s="103">
        <f t="shared" si="21"/>
        <v>5</v>
      </c>
      <c r="F116" s="103">
        <f t="shared" si="21"/>
        <v>2</v>
      </c>
      <c r="G116" s="154">
        <f>MEDIAN(B112:F115)</f>
        <v>3</v>
      </c>
    </row>
    <row r="117" spans="1:22">
      <c r="A117" s="140"/>
      <c r="B117" s="103"/>
      <c r="C117" s="103"/>
      <c r="D117" s="103"/>
      <c r="E117" s="103"/>
      <c r="F117" s="103"/>
      <c r="G117" s="103"/>
    </row>
    <row r="118" spans="1:22" s="34" customFormat="1">
      <c r="A118" s="156" t="s">
        <v>372</v>
      </c>
      <c r="B118" s="153" t="s">
        <v>268</v>
      </c>
      <c r="C118" s="153" t="s">
        <v>269</v>
      </c>
      <c r="D118" s="153" t="s">
        <v>270</v>
      </c>
      <c r="E118" s="153" t="s">
        <v>271</v>
      </c>
      <c r="F118" s="153" t="s">
        <v>272</v>
      </c>
      <c r="G118" s="153"/>
      <c r="H118" s="141"/>
      <c r="I118" s="224" t="s">
        <v>483</v>
      </c>
      <c r="J118" s="225" t="s">
        <v>268</v>
      </c>
      <c r="K118" s="225" t="s">
        <v>269</v>
      </c>
      <c r="L118" s="225" t="s">
        <v>270</v>
      </c>
      <c r="M118" s="225" t="s">
        <v>271</v>
      </c>
      <c r="N118" s="226" t="s">
        <v>272</v>
      </c>
      <c r="O118" s="141"/>
      <c r="P118" s="41" t="s">
        <v>484</v>
      </c>
      <c r="Q118" s="172" t="s">
        <v>268</v>
      </c>
      <c r="R118" s="172" t="s">
        <v>269</v>
      </c>
      <c r="S118" s="172" t="s">
        <v>270</v>
      </c>
      <c r="T118" s="172" t="s">
        <v>271</v>
      </c>
      <c r="U118" s="173" t="s">
        <v>272</v>
      </c>
      <c r="V118" s="141"/>
    </row>
    <row r="119" spans="1:22">
      <c r="A119" s="156" t="s">
        <v>206</v>
      </c>
      <c r="B119" s="103">
        <f t="shared" ref="B119:F122" si="22">B112-$G112</f>
        <v>-2</v>
      </c>
      <c r="C119" s="103">
        <f t="shared" si="22"/>
        <v>7</v>
      </c>
      <c r="D119" s="103">
        <f t="shared" si="22"/>
        <v>2</v>
      </c>
      <c r="E119" s="103">
        <f t="shared" si="22"/>
        <v>-5</v>
      </c>
      <c r="F119" s="103">
        <f t="shared" si="22"/>
        <v>0</v>
      </c>
      <c r="G119" s="103"/>
      <c r="I119" s="228" t="s">
        <v>206</v>
      </c>
      <c r="J119" s="46">
        <v>-2</v>
      </c>
      <c r="K119" s="47">
        <v>7</v>
      </c>
      <c r="L119" s="47">
        <v>2</v>
      </c>
      <c r="M119" s="47">
        <v>-5</v>
      </c>
      <c r="N119" s="48">
        <v>0</v>
      </c>
      <c r="P119" s="174" t="s">
        <v>206</v>
      </c>
      <c r="Q119" s="119">
        <v>5</v>
      </c>
      <c r="R119" s="120">
        <v>15</v>
      </c>
      <c r="S119" s="120">
        <v>8</v>
      </c>
      <c r="T119" s="120">
        <v>2</v>
      </c>
      <c r="U119" s="121">
        <v>10</v>
      </c>
    </row>
    <row r="120" spans="1:22">
      <c r="A120" s="156" t="s">
        <v>207</v>
      </c>
      <c r="B120" s="103">
        <f t="shared" si="22"/>
        <v>4</v>
      </c>
      <c r="C120" s="103">
        <f t="shared" si="22"/>
        <v>0</v>
      </c>
      <c r="D120" s="103">
        <f t="shared" si="22"/>
        <v>3</v>
      </c>
      <c r="E120" s="103">
        <f t="shared" si="22"/>
        <v>-7</v>
      </c>
      <c r="F120" s="103">
        <f t="shared" si="22"/>
        <v>-6</v>
      </c>
      <c r="G120" s="103"/>
      <c r="I120" s="228" t="s">
        <v>207</v>
      </c>
      <c r="J120" s="49">
        <v>4</v>
      </c>
      <c r="K120" s="50">
        <v>0</v>
      </c>
      <c r="L120" s="50">
        <v>3</v>
      </c>
      <c r="M120" s="50">
        <v>-7</v>
      </c>
      <c r="N120" s="51">
        <v>-6</v>
      </c>
      <c r="P120" s="174" t="s">
        <v>207</v>
      </c>
      <c r="Q120" s="124">
        <v>6</v>
      </c>
      <c r="R120" s="125">
        <v>3</v>
      </c>
      <c r="S120" s="125">
        <v>4</v>
      </c>
      <c r="T120" s="125">
        <v>-5</v>
      </c>
      <c r="U120" s="126">
        <v>-1</v>
      </c>
    </row>
    <row r="121" spans="1:22">
      <c r="A121" s="156" t="s">
        <v>208</v>
      </c>
      <c r="B121" s="103">
        <f t="shared" si="22"/>
        <v>-1</v>
      </c>
      <c r="C121" s="103">
        <f t="shared" si="22"/>
        <v>-1</v>
      </c>
      <c r="D121" s="103">
        <f t="shared" si="22"/>
        <v>0</v>
      </c>
      <c r="E121" s="103">
        <f t="shared" si="22"/>
        <v>11</v>
      </c>
      <c r="F121" s="103">
        <f t="shared" si="22"/>
        <v>0</v>
      </c>
      <c r="G121" s="103"/>
      <c r="I121" s="228" t="s">
        <v>208</v>
      </c>
      <c r="J121" s="49">
        <v>-1</v>
      </c>
      <c r="K121" s="50">
        <v>-1</v>
      </c>
      <c r="L121" s="50">
        <v>0</v>
      </c>
      <c r="M121" s="50">
        <v>11</v>
      </c>
      <c r="N121" s="51">
        <v>0</v>
      </c>
      <c r="P121" s="174" t="s">
        <v>208</v>
      </c>
      <c r="Q121" s="124">
        <v>-5</v>
      </c>
      <c r="R121" s="125">
        <v>-4</v>
      </c>
      <c r="S121" s="125">
        <v>-5</v>
      </c>
      <c r="T121" s="125">
        <v>7</v>
      </c>
      <c r="U121" s="126">
        <v>-1</v>
      </c>
    </row>
    <row r="122" spans="1:22">
      <c r="A122" s="156" t="s">
        <v>209</v>
      </c>
      <c r="B122" s="103">
        <f t="shared" si="22"/>
        <v>-2</v>
      </c>
      <c r="C122" s="103">
        <f t="shared" si="22"/>
        <v>-1</v>
      </c>
      <c r="D122" s="103">
        <f t="shared" si="22"/>
        <v>0</v>
      </c>
      <c r="E122" s="103">
        <f t="shared" si="22"/>
        <v>1</v>
      </c>
      <c r="F122" s="103">
        <f t="shared" si="22"/>
        <v>1</v>
      </c>
      <c r="G122" s="103"/>
      <c r="I122" s="230" t="s">
        <v>209</v>
      </c>
      <c r="J122" s="52">
        <v>-2</v>
      </c>
      <c r="K122" s="53">
        <v>-1</v>
      </c>
      <c r="L122" s="53">
        <v>0</v>
      </c>
      <c r="M122" s="53">
        <v>1</v>
      </c>
      <c r="N122" s="54">
        <v>1</v>
      </c>
      <c r="P122" s="175" t="s">
        <v>209</v>
      </c>
      <c r="Q122" s="132">
        <v>-5</v>
      </c>
      <c r="R122" s="133">
        <v>-3</v>
      </c>
      <c r="S122" s="133">
        <v>-4</v>
      </c>
      <c r="T122" s="133">
        <v>-2</v>
      </c>
      <c r="U122" s="134">
        <v>1</v>
      </c>
    </row>
    <row r="123" spans="1:22">
      <c r="A123" s="156"/>
      <c r="B123" s="103"/>
      <c r="C123" s="103"/>
      <c r="D123" s="103"/>
      <c r="E123" s="103"/>
      <c r="F123" s="103"/>
      <c r="G123" s="103"/>
    </row>
    <row r="124" spans="1:22" s="34" customFormat="1">
      <c r="A124" s="156" t="s">
        <v>373</v>
      </c>
      <c r="B124" s="153" t="s">
        <v>268</v>
      </c>
      <c r="C124" s="153" t="s">
        <v>269</v>
      </c>
      <c r="D124" s="153" t="s">
        <v>270</v>
      </c>
      <c r="E124" s="153" t="s">
        <v>271</v>
      </c>
      <c r="F124" s="153" t="s">
        <v>272</v>
      </c>
      <c r="G124" s="153"/>
      <c r="H124" s="141"/>
      <c r="I124" s="41" t="s">
        <v>485</v>
      </c>
      <c r="J124" s="172" t="s">
        <v>268</v>
      </c>
      <c r="K124" s="172" t="s">
        <v>269</v>
      </c>
      <c r="L124" s="172" t="s">
        <v>270</v>
      </c>
      <c r="M124" s="172" t="s">
        <v>271</v>
      </c>
      <c r="N124" s="173" t="s">
        <v>272</v>
      </c>
      <c r="O124" s="141"/>
      <c r="P124" s="41" t="s">
        <v>486</v>
      </c>
      <c r="Q124" s="172" t="s">
        <v>268</v>
      </c>
      <c r="R124" s="172" t="s">
        <v>269</v>
      </c>
      <c r="S124" s="172" t="s">
        <v>270</v>
      </c>
      <c r="T124" s="172" t="s">
        <v>271</v>
      </c>
      <c r="U124" s="173" t="s">
        <v>272</v>
      </c>
      <c r="V124" s="141"/>
    </row>
    <row r="125" spans="1:22">
      <c r="A125" s="156" t="s">
        <v>206</v>
      </c>
      <c r="B125" s="103">
        <f t="shared" ref="B125:F128" si="23">B112-B$116</f>
        <v>5</v>
      </c>
      <c r="C125" s="103">
        <f t="shared" si="23"/>
        <v>15</v>
      </c>
      <c r="D125" s="103">
        <f t="shared" si="23"/>
        <v>8</v>
      </c>
      <c r="E125" s="103">
        <f t="shared" si="23"/>
        <v>2</v>
      </c>
      <c r="F125" s="103">
        <f t="shared" si="23"/>
        <v>10</v>
      </c>
      <c r="G125" s="103"/>
      <c r="I125" s="174" t="s">
        <v>206</v>
      </c>
      <c r="J125" s="119">
        <v>1.5</v>
      </c>
      <c r="K125" s="120">
        <v>11</v>
      </c>
      <c r="L125" s="120">
        <v>5</v>
      </c>
      <c r="M125" s="120">
        <v>-1.5</v>
      </c>
      <c r="N125" s="121">
        <v>5</v>
      </c>
      <c r="P125" s="174" t="s">
        <v>206</v>
      </c>
      <c r="Q125" s="119">
        <v>7</v>
      </c>
      <c r="R125" s="120">
        <v>16</v>
      </c>
      <c r="S125" s="120">
        <v>11</v>
      </c>
      <c r="T125" s="120">
        <v>4</v>
      </c>
      <c r="U125" s="121">
        <v>9</v>
      </c>
    </row>
    <row r="126" spans="1:22">
      <c r="A126" s="156" t="s">
        <v>207</v>
      </c>
      <c r="B126" s="103">
        <f t="shared" si="23"/>
        <v>6</v>
      </c>
      <c r="C126" s="103">
        <f t="shared" si="23"/>
        <v>3</v>
      </c>
      <c r="D126" s="103">
        <f t="shared" si="23"/>
        <v>4</v>
      </c>
      <c r="E126" s="103">
        <f t="shared" si="23"/>
        <v>-5</v>
      </c>
      <c r="F126" s="103">
        <f t="shared" si="23"/>
        <v>-1</v>
      </c>
      <c r="G126" s="103"/>
      <c r="I126" s="174" t="s">
        <v>207</v>
      </c>
      <c r="J126" s="124">
        <v>5</v>
      </c>
      <c r="K126" s="125">
        <v>1.5</v>
      </c>
      <c r="L126" s="125">
        <v>3.5</v>
      </c>
      <c r="M126" s="125">
        <v>-6</v>
      </c>
      <c r="N126" s="126">
        <v>-3.5</v>
      </c>
      <c r="P126" s="174" t="s">
        <v>207</v>
      </c>
      <c r="Q126" s="124">
        <v>8</v>
      </c>
      <c r="R126" s="125">
        <v>4</v>
      </c>
      <c r="S126" s="125">
        <v>7</v>
      </c>
      <c r="T126" s="125">
        <v>-3</v>
      </c>
      <c r="U126" s="126">
        <v>-2</v>
      </c>
    </row>
    <row r="127" spans="1:22">
      <c r="A127" s="156" t="s">
        <v>208</v>
      </c>
      <c r="B127" s="103">
        <f t="shared" si="23"/>
        <v>-5</v>
      </c>
      <c r="C127" s="103">
        <f t="shared" si="23"/>
        <v>-4</v>
      </c>
      <c r="D127" s="103">
        <f t="shared" si="23"/>
        <v>-5</v>
      </c>
      <c r="E127" s="103">
        <f t="shared" si="23"/>
        <v>7</v>
      </c>
      <c r="F127" s="103">
        <f t="shared" si="23"/>
        <v>-1</v>
      </c>
      <c r="G127" s="103"/>
      <c r="I127" s="174" t="s">
        <v>208</v>
      </c>
      <c r="J127" s="124">
        <v>-3</v>
      </c>
      <c r="K127" s="125">
        <v>-2.5</v>
      </c>
      <c r="L127" s="125">
        <v>-2.5</v>
      </c>
      <c r="M127" s="125">
        <v>9</v>
      </c>
      <c r="N127" s="126">
        <v>-0.5</v>
      </c>
      <c r="P127" s="174" t="s">
        <v>208</v>
      </c>
      <c r="Q127" s="124">
        <v>-3</v>
      </c>
      <c r="R127" s="125">
        <v>-3</v>
      </c>
      <c r="S127" s="125">
        <v>-2</v>
      </c>
      <c r="T127" s="125">
        <v>9</v>
      </c>
      <c r="U127" s="126">
        <v>-2</v>
      </c>
    </row>
    <row r="128" spans="1:22">
      <c r="A128" s="156" t="s">
        <v>209</v>
      </c>
      <c r="B128" s="103">
        <f t="shared" si="23"/>
        <v>-5</v>
      </c>
      <c r="C128" s="103">
        <f t="shared" si="23"/>
        <v>-3</v>
      </c>
      <c r="D128" s="103">
        <f t="shared" si="23"/>
        <v>-4</v>
      </c>
      <c r="E128" s="103">
        <f t="shared" si="23"/>
        <v>-2</v>
      </c>
      <c r="F128" s="103">
        <f t="shared" si="23"/>
        <v>1</v>
      </c>
      <c r="G128" s="103"/>
      <c r="I128" s="175" t="s">
        <v>209</v>
      </c>
      <c r="J128" s="132">
        <v>-3.5</v>
      </c>
      <c r="K128" s="133">
        <v>-2</v>
      </c>
      <c r="L128" s="133">
        <v>-2</v>
      </c>
      <c r="M128" s="133">
        <v>-0.5</v>
      </c>
      <c r="N128" s="134">
        <v>1</v>
      </c>
      <c r="P128" s="175" t="s">
        <v>209</v>
      </c>
      <c r="Q128" s="132">
        <v>-3</v>
      </c>
      <c r="R128" s="133">
        <v>-2</v>
      </c>
      <c r="S128" s="133">
        <v>-1</v>
      </c>
      <c r="T128" s="133">
        <v>0</v>
      </c>
      <c r="U128" s="134">
        <v>0</v>
      </c>
    </row>
    <row r="129" spans="1:22">
      <c r="A129" s="156"/>
      <c r="B129" s="103"/>
      <c r="C129" s="103"/>
      <c r="D129" s="103"/>
      <c r="E129" s="103"/>
      <c r="F129" s="103"/>
      <c r="G129" s="103"/>
    </row>
    <row r="130" spans="1:22" s="34" customFormat="1">
      <c r="A130" s="156" t="s">
        <v>374</v>
      </c>
      <c r="B130" s="153" t="s">
        <v>268</v>
      </c>
      <c r="C130" s="153" t="s">
        <v>269</v>
      </c>
      <c r="D130" s="153" t="s">
        <v>270</v>
      </c>
      <c r="E130" s="153" t="s">
        <v>271</v>
      </c>
      <c r="F130" s="153" t="s">
        <v>272</v>
      </c>
      <c r="G130" s="153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</row>
    <row r="131" spans="1:22">
      <c r="A131" s="156" t="s">
        <v>206</v>
      </c>
      <c r="B131" s="103">
        <f t="shared" ref="B131:F134" si="24">(B119+B125)/2</f>
        <v>1.5</v>
      </c>
      <c r="C131" s="103">
        <f t="shared" si="24"/>
        <v>11</v>
      </c>
      <c r="D131" s="103">
        <f t="shared" si="24"/>
        <v>5</v>
      </c>
      <c r="E131" s="103">
        <f t="shared" si="24"/>
        <v>-1.5</v>
      </c>
      <c r="F131" s="103">
        <f t="shared" si="24"/>
        <v>5</v>
      </c>
      <c r="G131" s="103"/>
    </row>
    <row r="132" spans="1:22">
      <c r="A132" s="156" t="s">
        <v>207</v>
      </c>
      <c r="B132" s="103">
        <f t="shared" si="24"/>
        <v>5</v>
      </c>
      <c r="C132" s="103">
        <f t="shared" si="24"/>
        <v>1.5</v>
      </c>
      <c r="D132" s="103">
        <f t="shared" si="24"/>
        <v>3.5</v>
      </c>
      <c r="E132" s="103">
        <f t="shared" si="24"/>
        <v>-6</v>
      </c>
      <c r="F132" s="103">
        <f t="shared" si="24"/>
        <v>-3.5</v>
      </c>
      <c r="G132" s="103"/>
    </row>
    <row r="133" spans="1:22">
      <c r="A133" s="156" t="s">
        <v>208</v>
      </c>
      <c r="B133" s="103">
        <f t="shared" si="24"/>
        <v>-3</v>
      </c>
      <c r="C133" s="103">
        <f t="shared" si="24"/>
        <v>-2.5</v>
      </c>
      <c r="D133" s="103">
        <f t="shared" si="24"/>
        <v>-2.5</v>
      </c>
      <c r="E133" s="103">
        <f t="shared" si="24"/>
        <v>9</v>
      </c>
      <c r="F133" s="103">
        <f t="shared" si="24"/>
        <v>-0.5</v>
      </c>
      <c r="G133" s="103"/>
    </row>
    <row r="134" spans="1:22">
      <c r="A134" s="156" t="s">
        <v>209</v>
      </c>
      <c r="B134" s="103">
        <f t="shared" si="24"/>
        <v>-3.5</v>
      </c>
      <c r="C134" s="103">
        <f t="shared" si="24"/>
        <v>-2</v>
      </c>
      <c r="D134" s="103">
        <f t="shared" si="24"/>
        <v>-2</v>
      </c>
      <c r="E134" s="103">
        <f t="shared" si="24"/>
        <v>-0.5</v>
      </c>
      <c r="F134" s="103">
        <f t="shared" si="24"/>
        <v>1</v>
      </c>
      <c r="G134" s="103"/>
    </row>
    <row r="135" spans="1:22">
      <c r="A135" s="156"/>
      <c r="B135" s="103"/>
      <c r="C135" s="103"/>
      <c r="D135" s="103"/>
      <c r="E135" s="103"/>
      <c r="F135" s="103"/>
      <c r="G135" s="103"/>
    </row>
    <row r="136" spans="1:22" s="34" customFormat="1">
      <c r="A136" s="156" t="s">
        <v>375</v>
      </c>
      <c r="B136" s="153" t="s">
        <v>268</v>
      </c>
      <c r="C136" s="153" t="s">
        <v>269</v>
      </c>
      <c r="D136" s="153" t="s">
        <v>270</v>
      </c>
      <c r="E136" s="153" t="s">
        <v>271</v>
      </c>
      <c r="F136" s="153" t="s">
        <v>272</v>
      </c>
      <c r="G136" s="153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</row>
    <row r="137" spans="1:22">
      <c r="A137" s="156" t="s">
        <v>206</v>
      </c>
      <c r="B137" s="103">
        <f t="shared" ref="B137:F140" si="25">B112-$G$116</f>
        <v>7</v>
      </c>
      <c r="C137" s="103">
        <f t="shared" si="25"/>
        <v>16</v>
      </c>
      <c r="D137" s="103">
        <f t="shared" si="25"/>
        <v>11</v>
      </c>
      <c r="E137" s="103">
        <f t="shared" si="25"/>
        <v>4</v>
      </c>
      <c r="F137" s="103">
        <f t="shared" si="25"/>
        <v>9</v>
      </c>
      <c r="G137" s="103"/>
    </row>
    <row r="138" spans="1:22">
      <c r="A138" s="156" t="s">
        <v>207</v>
      </c>
      <c r="B138" s="103">
        <f t="shared" si="25"/>
        <v>8</v>
      </c>
      <c r="C138" s="103">
        <f t="shared" si="25"/>
        <v>4</v>
      </c>
      <c r="D138" s="103">
        <f t="shared" si="25"/>
        <v>7</v>
      </c>
      <c r="E138" s="103">
        <f t="shared" si="25"/>
        <v>-3</v>
      </c>
      <c r="F138" s="103">
        <f t="shared" si="25"/>
        <v>-2</v>
      </c>
      <c r="G138" s="103"/>
    </row>
    <row r="139" spans="1:22">
      <c r="A139" s="156" t="s">
        <v>208</v>
      </c>
      <c r="B139" s="103">
        <f t="shared" si="25"/>
        <v>-3</v>
      </c>
      <c r="C139" s="103">
        <f t="shared" si="25"/>
        <v>-3</v>
      </c>
      <c r="D139" s="103">
        <f t="shared" si="25"/>
        <v>-2</v>
      </c>
      <c r="E139" s="103">
        <f t="shared" si="25"/>
        <v>9</v>
      </c>
      <c r="F139" s="103">
        <f t="shared" si="25"/>
        <v>-2</v>
      </c>
      <c r="G139" s="103"/>
    </row>
    <row r="140" spans="1:22">
      <c r="A140" s="156" t="s">
        <v>209</v>
      </c>
      <c r="B140" s="103">
        <f t="shared" si="25"/>
        <v>-3</v>
      </c>
      <c r="C140" s="103">
        <f t="shared" si="25"/>
        <v>-2</v>
      </c>
      <c r="D140" s="103">
        <f t="shared" si="25"/>
        <v>-1</v>
      </c>
      <c r="E140" s="103">
        <f t="shared" si="25"/>
        <v>0</v>
      </c>
      <c r="F140" s="103">
        <f t="shared" si="25"/>
        <v>0</v>
      </c>
      <c r="G140" s="103"/>
    </row>
    <row r="141" spans="1:22">
      <c r="A141" s="156"/>
      <c r="B141" s="103"/>
      <c r="C141" s="103"/>
      <c r="D141" s="103"/>
      <c r="E141" s="103"/>
      <c r="F141" s="103"/>
      <c r="G141" s="103"/>
    </row>
    <row r="142" spans="1:22">
      <c r="A142" s="157"/>
      <c r="B142" s="103"/>
      <c r="C142" s="103"/>
      <c r="D142" s="103"/>
      <c r="E142" s="103"/>
      <c r="F142" s="103"/>
      <c r="G142" s="103"/>
    </row>
    <row r="143" spans="1:22">
      <c r="A143" s="139" t="s">
        <v>376</v>
      </c>
      <c r="B143" s="103"/>
      <c r="C143" s="103"/>
      <c r="D143" s="103"/>
      <c r="E143" s="103"/>
      <c r="F143" s="103"/>
      <c r="G143" s="103"/>
    </row>
    <row r="144" spans="1:22">
      <c r="A144" s="157"/>
      <c r="B144" s="103"/>
      <c r="C144" s="103"/>
      <c r="D144" s="103"/>
      <c r="E144" s="103"/>
      <c r="F144" s="103"/>
      <c r="G144" s="103"/>
    </row>
    <row r="145" spans="1:22" s="34" customFormat="1">
      <c r="A145" s="171" t="s">
        <v>369</v>
      </c>
      <c r="B145" s="341" t="s">
        <v>268</v>
      </c>
      <c r="C145" s="341" t="s">
        <v>269</v>
      </c>
      <c r="D145" s="341" t="s">
        <v>270</v>
      </c>
      <c r="E145" s="341" t="s">
        <v>271</v>
      </c>
      <c r="F145" s="342" t="s">
        <v>272</v>
      </c>
      <c r="G145" s="153" t="s">
        <v>370</v>
      </c>
      <c r="H145" s="141"/>
      <c r="I145"/>
      <c r="J145"/>
      <c r="K145"/>
      <c r="L145"/>
      <c r="M145"/>
      <c r="N145"/>
      <c r="O145" s="141"/>
      <c r="P145" s="141"/>
      <c r="Q145" s="141"/>
      <c r="R145" s="141"/>
      <c r="S145" s="141"/>
      <c r="T145" s="141"/>
      <c r="U145" s="141"/>
      <c r="V145" s="141"/>
    </row>
    <row r="146" spans="1:22">
      <c r="A146" s="174" t="s">
        <v>206</v>
      </c>
      <c r="B146" s="88">
        <v>10</v>
      </c>
      <c r="C146" s="89">
        <v>19</v>
      </c>
      <c r="D146" s="89">
        <v>14</v>
      </c>
      <c r="E146" s="89">
        <v>7</v>
      </c>
      <c r="F146" s="90">
        <v>12</v>
      </c>
      <c r="G146" s="103">
        <f>MEDIAN(B146:F146)</f>
        <v>12</v>
      </c>
      <c r="I146"/>
      <c r="J146"/>
      <c r="K146"/>
      <c r="L146"/>
      <c r="M146"/>
      <c r="N146"/>
    </row>
    <row r="147" spans="1:22">
      <c r="A147" s="174" t="s">
        <v>207</v>
      </c>
      <c r="B147" s="92">
        <v>11</v>
      </c>
      <c r="C147" s="93">
        <v>7</v>
      </c>
      <c r="D147" s="93">
        <v>10</v>
      </c>
      <c r="E147" s="93">
        <v>0</v>
      </c>
      <c r="F147" s="94">
        <v>1</v>
      </c>
      <c r="G147" s="103">
        <f t="shared" ref="G147:G149" si="26">MEDIAN(B147:F147)</f>
        <v>7</v>
      </c>
      <c r="I147"/>
      <c r="J147"/>
      <c r="K147"/>
      <c r="L147"/>
      <c r="M147"/>
      <c r="N147"/>
    </row>
    <row r="148" spans="1:22">
      <c r="A148" s="174" t="s">
        <v>208</v>
      </c>
      <c r="B148" s="92">
        <v>0</v>
      </c>
      <c r="C148" s="93">
        <v>0</v>
      </c>
      <c r="D148" s="93">
        <v>1</v>
      </c>
      <c r="E148" s="93">
        <v>12</v>
      </c>
      <c r="F148" s="94">
        <v>1</v>
      </c>
      <c r="G148" s="103">
        <f t="shared" si="26"/>
        <v>1</v>
      </c>
      <c r="I148"/>
      <c r="J148"/>
      <c r="K148"/>
      <c r="L148"/>
      <c r="M148"/>
      <c r="N148"/>
    </row>
    <row r="149" spans="1:22">
      <c r="A149" s="175" t="s">
        <v>209</v>
      </c>
      <c r="B149" s="95">
        <v>0</v>
      </c>
      <c r="C149" s="96">
        <v>1</v>
      </c>
      <c r="D149" s="96">
        <v>2</v>
      </c>
      <c r="E149" s="96">
        <v>3</v>
      </c>
      <c r="F149" s="97">
        <v>3</v>
      </c>
      <c r="G149" s="103">
        <f t="shared" si="26"/>
        <v>2</v>
      </c>
      <c r="I149"/>
      <c r="J149"/>
      <c r="K149"/>
      <c r="L149"/>
      <c r="M149"/>
      <c r="N149"/>
    </row>
    <row r="150" spans="1:22">
      <c r="A150" s="140" t="s">
        <v>371</v>
      </c>
      <c r="B150" s="103">
        <f>MEDIAN(B146:B149)</f>
        <v>5</v>
      </c>
      <c r="C150" s="103">
        <f t="shared" ref="C150:F150" si="27">MEDIAN(C146:C149)</f>
        <v>4</v>
      </c>
      <c r="D150" s="103">
        <f t="shared" si="27"/>
        <v>6</v>
      </c>
      <c r="E150" s="103">
        <f t="shared" si="27"/>
        <v>5</v>
      </c>
      <c r="F150" s="103">
        <f t="shared" si="27"/>
        <v>2</v>
      </c>
      <c r="G150" s="154">
        <f>MEDIAN(B146:F149)</f>
        <v>3</v>
      </c>
    </row>
    <row r="151" spans="1:22">
      <c r="A151" s="140"/>
      <c r="B151" s="103"/>
      <c r="C151" s="103"/>
      <c r="D151" s="103"/>
      <c r="E151" s="103"/>
      <c r="F151" s="103"/>
      <c r="G151" s="103"/>
    </row>
    <row r="152" spans="1:22" s="34" customFormat="1">
      <c r="A152" s="156" t="s">
        <v>377</v>
      </c>
      <c r="B152" s="153" t="s">
        <v>268</v>
      </c>
      <c r="C152" s="153" t="s">
        <v>269</v>
      </c>
      <c r="D152" s="153" t="s">
        <v>270</v>
      </c>
      <c r="E152" s="153" t="s">
        <v>271</v>
      </c>
      <c r="F152" s="153" t="s">
        <v>272</v>
      </c>
      <c r="G152" s="153"/>
      <c r="H152" s="141"/>
      <c r="I152" s="41" t="s">
        <v>487</v>
      </c>
      <c r="J152" s="172" t="s">
        <v>268</v>
      </c>
      <c r="K152" s="172" t="s">
        <v>269</v>
      </c>
      <c r="L152" s="172" t="s">
        <v>270</v>
      </c>
      <c r="M152" s="172" t="s">
        <v>271</v>
      </c>
      <c r="N152" s="173" t="s">
        <v>272</v>
      </c>
      <c r="O152" s="141"/>
      <c r="P152" s="41" t="s">
        <v>488</v>
      </c>
      <c r="Q152" s="172" t="s">
        <v>268</v>
      </c>
      <c r="R152" s="172" t="s">
        <v>269</v>
      </c>
      <c r="S152" s="172" t="s">
        <v>270</v>
      </c>
      <c r="T152" s="172" t="s">
        <v>271</v>
      </c>
      <c r="U152" s="173" t="s">
        <v>272</v>
      </c>
      <c r="V152" s="141"/>
    </row>
    <row r="153" spans="1:22">
      <c r="A153" s="156" t="s">
        <v>206</v>
      </c>
      <c r="B153" s="103">
        <f t="shared" ref="B153:F156" si="28">B112/$G146</f>
        <v>0.83333333333333337</v>
      </c>
      <c r="C153" s="103">
        <f t="shared" si="28"/>
        <v>1.5833333333333333</v>
      </c>
      <c r="D153" s="103">
        <f t="shared" si="28"/>
        <v>1.1666666666666667</v>
      </c>
      <c r="E153" s="103">
        <f t="shared" si="28"/>
        <v>0.58333333333333337</v>
      </c>
      <c r="F153" s="103">
        <f t="shared" si="28"/>
        <v>1</v>
      </c>
      <c r="G153" s="103"/>
      <c r="I153" s="174" t="s">
        <v>206</v>
      </c>
      <c r="J153" s="119">
        <v>0.83333333333333337</v>
      </c>
      <c r="K153" s="120">
        <v>1.5833333333333333</v>
      </c>
      <c r="L153" s="120">
        <v>1.1666666666666667</v>
      </c>
      <c r="M153" s="120">
        <v>0.58333333333333337</v>
      </c>
      <c r="N153" s="121">
        <v>1</v>
      </c>
      <c r="P153" s="174" t="s">
        <v>206</v>
      </c>
      <c r="Q153" s="119">
        <v>2</v>
      </c>
      <c r="R153" s="120">
        <v>4.75</v>
      </c>
      <c r="S153" s="120">
        <v>2.3333333333333335</v>
      </c>
      <c r="T153" s="120">
        <v>1.4</v>
      </c>
      <c r="U153" s="121">
        <v>6</v>
      </c>
    </row>
    <row r="154" spans="1:22">
      <c r="A154" s="156" t="s">
        <v>207</v>
      </c>
      <c r="B154" s="103">
        <f t="shared" si="28"/>
        <v>1.5714285714285714</v>
      </c>
      <c r="C154" s="103">
        <f t="shared" si="28"/>
        <v>1</v>
      </c>
      <c r="D154" s="103">
        <f t="shared" si="28"/>
        <v>1.4285714285714286</v>
      </c>
      <c r="E154" s="103">
        <f t="shared" si="28"/>
        <v>0</v>
      </c>
      <c r="F154" s="103">
        <f t="shared" si="28"/>
        <v>0.14285714285714285</v>
      </c>
      <c r="G154" s="103"/>
      <c r="I154" s="174" t="s">
        <v>207</v>
      </c>
      <c r="J154" s="124">
        <v>1.5714285714285714</v>
      </c>
      <c r="K154" s="125">
        <v>1</v>
      </c>
      <c r="L154" s="125">
        <v>1.4285714285714286</v>
      </c>
      <c r="M154" s="125">
        <v>0</v>
      </c>
      <c r="N154" s="126">
        <v>0.14285714285714285</v>
      </c>
      <c r="P154" s="174" t="s">
        <v>207</v>
      </c>
      <c r="Q154" s="124">
        <v>2.2000000000000002</v>
      </c>
      <c r="R154" s="125">
        <v>1.75</v>
      </c>
      <c r="S154" s="125">
        <v>1.6666666666666667</v>
      </c>
      <c r="T154" s="125">
        <v>0</v>
      </c>
      <c r="U154" s="126">
        <v>0.5</v>
      </c>
    </row>
    <row r="155" spans="1:22">
      <c r="A155" s="156" t="s">
        <v>208</v>
      </c>
      <c r="B155" s="103">
        <f t="shared" si="28"/>
        <v>0</v>
      </c>
      <c r="C155" s="103">
        <f t="shared" si="28"/>
        <v>0</v>
      </c>
      <c r="D155" s="103">
        <f t="shared" si="28"/>
        <v>1</v>
      </c>
      <c r="E155" s="103">
        <f t="shared" si="28"/>
        <v>12</v>
      </c>
      <c r="F155" s="103">
        <f t="shared" si="28"/>
        <v>1</v>
      </c>
      <c r="G155" s="103"/>
      <c r="I155" s="174" t="s">
        <v>208</v>
      </c>
      <c r="J155" s="124">
        <v>0</v>
      </c>
      <c r="K155" s="125">
        <v>0</v>
      </c>
      <c r="L155" s="125">
        <v>1</v>
      </c>
      <c r="M155" s="125">
        <v>12</v>
      </c>
      <c r="N155" s="126">
        <v>1</v>
      </c>
      <c r="P155" s="174" t="s">
        <v>208</v>
      </c>
      <c r="Q155" s="124">
        <v>0</v>
      </c>
      <c r="R155" s="125">
        <v>0</v>
      </c>
      <c r="S155" s="125">
        <v>0.16666666666666666</v>
      </c>
      <c r="T155" s="125">
        <v>2.4</v>
      </c>
      <c r="U155" s="126">
        <v>0.5</v>
      </c>
    </row>
    <row r="156" spans="1:22">
      <c r="A156" s="156" t="s">
        <v>209</v>
      </c>
      <c r="B156" s="103">
        <f t="shared" si="28"/>
        <v>0</v>
      </c>
      <c r="C156" s="103">
        <f t="shared" si="28"/>
        <v>0.5</v>
      </c>
      <c r="D156" s="103">
        <f t="shared" si="28"/>
        <v>1</v>
      </c>
      <c r="E156" s="103">
        <f t="shared" si="28"/>
        <v>1.5</v>
      </c>
      <c r="F156" s="103">
        <f t="shared" si="28"/>
        <v>1.5</v>
      </c>
      <c r="G156" s="103"/>
      <c r="I156" s="175" t="s">
        <v>209</v>
      </c>
      <c r="J156" s="132">
        <v>0</v>
      </c>
      <c r="K156" s="133">
        <v>0.5</v>
      </c>
      <c r="L156" s="133">
        <v>1</v>
      </c>
      <c r="M156" s="133">
        <v>1.5</v>
      </c>
      <c r="N156" s="134">
        <v>1.5</v>
      </c>
      <c r="P156" s="175" t="s">
        <v>209</v>
      </c>
      <c r="Q156" s="132">
        <v>0</v>
      </c>
      <c r="R156" s="133">
        <v>0.25</v>
      </c>
      <c r="S156" s="133">
        <v>0.33333333333333331</v>
      </c>
      <c r="T156" s="133">
        <v>0.6</v>
      </c>
      <c r="U156" s="134">
        <v>1.5</v>
      </c>
    </row>
    <row r="157" spans="1:22">
      <c r="A157" s="156"/>
      <c r="B157" s="103"/>
      <c r="C157" s="103"/>
      <c r="D157" s="103"/>
      <c r="E157" s="103"/>
      <c r="F157" s="103"/>
      <c r="G157" s="103"/>
    </row>
    <row r="158" spans="1:22" s="34" customFormat="1">
      <c r="A158" s="156" t="s">
        <v>378</v>
      </c>
      <c r="B158" s="153" t="s">
        <v>268</v>
      </c>
      <c r="C158" s="153" t="s">
        <v>269</v>
      </c>
      <c r="D158" s="153" t="s">
        <v>270</v>
      </c>
      <c r="E158" s="153" t="s">
        <v>271</v>
      </c>
      <c r="F158" s="153" t="s">
        <v>272</v>
      </c>
      <c r="G158" s="153"/>
      <c r="H158" s="141"/>
      <c r="I158" s="41" t="s">
        <v>489</v>
      </c>
      <c r="J158" s="172" t="s">
        <v>268</v>
      </c>
      <c r="K158" s="172" t="s">
        <v>269</v>
      </c>
      <c r="L158" s="172" t="s">
        <v>270</v>
      </c>
      <c r="M158" s="172" t="s">
        <v>271</v>
      </c>
      <c r="N158" s="173" t="s">
        <v>272</v>
      </c>
      <c r="O158" s="141"/>
      <c r="P158" s="41" t="s">
        <v>490</v>
      </c>
      <c r="Q158" s="172" t="s">
        <v>268</v>
      </c>
      <c r="R158" s="172" t="s">
        <v>269</v>
      </c>
      <c r="S158" s="172" t="s">
        <v>270</v>
      </c>
      <c r="T158" s="172" t="s">
        <v>271</v>
      </c>
      <c r="U158" s="173" t="s">
        <v>272</v>
      </c>
      <c r="V158" s="141"/>
    </row>
    <row r="159" spans="1:22">
      <c r="A159" s="156" t="s">
        <v>206</v>
      </c>
      <c r="B159" s="103">
        <f t="shared" ref="B159:F162" si="29">B112/B$150</f>
        <v>2</v>
      </c>
      <c r="C159" s="103">
        <f t="shared" si="29"/>
        <v>4.75</v>
      </c>
      <c r="D159" s="103">
        <f t="shared" si="29"/>
        <v>2.3333333333333335</v>
      </c>
      <c r="E159" s="103">
        <f t="shared" si="29"/>
        <v>1.4</v>
      </c>
      <c r="F159" s="103">
        <f t="shared" si="29"/>
        <v>6</v>
      </c>
      <c r="G159" s="103"/>
      <c r="I159" s="174" t="s">
        <v>206</v>
      </c>
      <c r="J159" s="119">
        <v>1.1764705882352942</v>
      </c>
      <c r="K159" s="120">
        <v>2.375</v>
      </c>
      <c r="L159" s="120">
        <v>1.5555555555555556</v>
      </c>
      <c r="M159" s="120">
        <v>0.82352941176470584</v>
      </c>
      <c r="N159" s="121">
        <v>1.7142857142857142</v>
      </c>
      <c r="P159" s="174" t="s">
        <v>206</v>
      </c>
      <c r="Q159" s="119">
        <v>3.3333333333333335</v>
      </c>
      <c r="R159" s="120">
        <v>6.333333333333333</v>
      </c>
      <c r="S159" s="120">
        <v>4.666666666666667</v>
      </c>
      <c r="T159" s="120">
        <v>2.3333333333333335</v>
      </c>
      <c r="U159" s="121">
        <v>4</v>
      </c>
    </row>
    <row r="160" spans="1:22">
      <c r="A160" s="156" t="s">
        <v>276</v>
      </c>
      <c r="B160" s="103">
        <f t="shared" si="29"/>
        <v>2.2000000000000002</v>
      </c>
      <c r="C160" s="103">
        <f t="shared" si="29"/>
        <v>1.75</v>
      </c>
      <c r="D160" s="103">
        <f t="shared" si="29"/>
        <v>1.6666666666666667</v>
      </c>
      <c r="E160" s="103">
        <f t="shared" si="29"/>
        <v>0</v>
      </c>
      <c r="F160" s="103">
        <f t="shared" si="29"/>
        <v>0.5</v>
      </c>
      <c r="G160" s="103"/>
      <c r="I160" s="174" t="s">
        <v>207</v>
      </c>
      <c r="J160" s="124">
        <v>1.8333333333333333</v>
      </c>
      <c r="K160" s="125">
        <v>1.2727272727272727</v>
      </c>
      <c r="L160" s="125">
        <v>1.5384615384615385</v>
      </c>
      <c r="M160" s="125">
        <v>0</v>
      </c>
      <c r="N160" s="126">
        <v>0.22222222222222221</v>
      </c>
      <c r="P160" s="174" t="s">
        <v>207</v>
      </c>
      <c r="Q160" s="124">
        <v>3.6666666666666665</v>
      </c>
      <c r="R160" s="125">
        <v>2.3333333333333335</v>
      </c>
      <c r="S160" s="125">
        <v>3.3333333333333335</v>
      </c>
      <c r="T160" s="125">
        <v>0</v>
      </c>
      <c r="U160" s="126">
        <v>0.33333333333333331</v>
      </c>
    </row>
    <row r="161" spans="1:22">
      <c r="A161" s="156" t="s">
        <v>208</v>
      </c>
      <c r="B161" s="103">
        <f t="shared" si="29"/>
        <v>0</v>
      </c>
      <c r="C161" s="103">
        <f t="shared" si="29"/>
        <v>0</v>
      </c>
      <c r="D161" s="103">
        <f t="shared" si="29"/>
        <v>0.16666666666666666</v>
      </c>
      <c r="E161" s="103">
        <f t="shared" si="29"/>
        <v>2.4</v>
      </c>
      <c r="F161" s="103">
        <f t="shared" si="29"/>
        <v>0.5</v>
      </c>
      <c r="G161" s="103"/>
      <c r="I161" s="174" t="s">
        <v>208</v>
      </c>
      <c r="J161" s="124">
        <v>0</v>
      </c>
      <c r="K161" s="125">
        <v>0</v>
      </c>
      <c r="L161" s="125">
        <v>0.2857142857142857</v>
      </c>
      <c r="M161" s="125">
        <v>4</v>
      </c>
      <c r="N161" s="126">
        <v>0.66666666666666663</v>
      </c>
      <c r="P161" s="174" t="s">
        <v>208</v>
      </c>
      <c r="Q161" s="124">
        <v>0</v>
      </c>
      <c r="R161" s="125">
        <v>0</v>
      </c>
      <c r="S161" s="125">
        <v>0.33333333333333331</v>
      </c>
      <c r="T161" s="125">
        <v>4</v>
      </c>
      <c r="U161" s="126">
        <v>0.33333333333333331</v>
      </c>
    </row>
    <row r="162" spans="1:22">
      <c r="A162" s="156" t="s">
        <v>209</v>
      </c>
      <c r="B162" s="103">
        <f t="shared" si="29"/>
        <v>0</v>
      </c>
      <c r="C162" s="103">
        <f t="shared" si="29"/>
        <v>0.25</v>
      </c>
      <c r="D162" s="103">
        <f t="shared" si="29"/>
        <v>0.33333333333333331</v>
      </c>
      <c r="E162" s="103">
        <f t="shared" si="29"/>
        <v>0.6</v>
      </c>
      <c r="F162" s="103">
        <f t="shared" si="29"/>
        <v>1.5</v>
      </c>
      <c r="G162" s="103"/>
      <c r="I162" s="175" t="s">
        <v>209</v>
      </c>
      <c r="J162" s="132">
        <v>0</v>
      </c>
      <c r="K162" s="133">
        <v>0.33333333333333331</v>
      </c>
      <c r="L162" s="133">
        <v>0.5</v>
      </c>
      <c r="M162" s="133">
        <v>0.8571428571428571</v>
      </c>
      <c r="N162" s="134">
        <v>1.5</v>
      </c>
      <c r="P162" s="175" t="s">
        <v>209</v>
      </c>
      <c r="Q162" s="132">
        <v>0</v>
      </c>
      <c r="R162" s="133">
        <v>0.33333333333333331</v>
      </c>
      <c r="S162" s="133">
        <v>0.66666666666666663</v>
      </c>
      <c r="T162" s="133">
        <v>1</v>
      </c>
      <c r="U162" s="134">
        <v>1</v>
      </c>
    </row>
    <row r="163" spans="1:22">
      <c r="A163" s="156"/>
      <c r="B163" s="103"/>
      <c r="C163" s="103"/>
      <c r="D163" s="103"/>
      <c r="E163" s="103"/>
      <c r="F163" s="103"/>
      <c r="G163" s="103"/>
    </row>
    <row r="164" spans="1:22" s="34" customFormat="1">
      <c r="A164" s="156" t="s">
        <v>379</v>
      </c>
      <c r="B164" s="153" t="s">
        <v>268</v>
      </c>
      <c r="C164" s="153" t="s">
        <v>269</v>
      </c>
      <c r="D164" s="153" t="s">
        <v>270</v>
      </c>
      <c r="E164" s="153" t="s">
        <v>271</v>
      </c>
      <c r="F164" s="153" t="s">
        <v>272</v>
      </c>
      <c r="G164" s="153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</row>
    <row r="165" spans="1:22">
      <c r="A165" s="156" t="s">
        <v>206</v>
      </c>
      <c r="B165" s="103">
        <f>(B146*2)/($G146+B$150)</f>
        <v>1.1764705882352942</v>
      </c>
      <c r="C165" s="103">
        <f t="shared" ref="C165:F165" si="30">(C146*2)/($G146+C$150)</f>
        <v>2.375</v>
      </c>
      <c r="D165" s="103">
        <f t="shared" si="30"/>
        <v>1.5555555555555556</v>
      </c>
      <c r="E165" s="103">
        <f t="shared" si="30"/>
        <v>0.82352941176470584</v>
      </c>
      <c r="F165" s="103">
        <f t="shared" si="30"/>
        <v>1.7142857142857142</v>
      </c>
      <c r="G165" s="103"/>
    </row>
    <row r="166" spans="1:22">
      <c r="A166" s="156" t="s">
        <v>207</v>
      </c>
      <c r="B166" s="103">
        <f t="shared" ref="B166:F166" si="31">(B147*2)/($G147+B$150)</f>
        <v>1.8333333333333333</v>
      </c>
      <c r="C166" s="103">
        <f t="shared" si="31"/>
        <v>1.2727272727272727</v>
      </c>
      <c r="D166" s="103">
        <f t="shared" si="31"/>
        <v>1.5384615384615385</v>
      </c>
      <c r="E166" s="103">
        <f t="shared" si="31"/>
        <v>0</v>
      </c>
      <c r="F166" s="103">
        <f t="shared" si="31"/>
        <v>0.22222222222222221</v>
      </c>
      <c r="G166" s="103"/>
    </row>
    <row r="167" spans="1:22">
      <c r="A167" s="156" t="s">
        <v>208</v>
      </c>
      <c r="B167" s="103">
        <f t="shared" ref="B167:F167" si="32">(B148*2)/($G148+B$150)</f>
        <v>0</v>
      </c>
      <c r="C167" s="103">
        <f t="shared" si="32"/>
        <v>0</v>
      </c>
      <c r="D167" s="103">
        <f t="shared" si="32"/>
        <v>0.2857142857142857</v>
      </c>
      <c r="E167" s="103">
        <f t="shared" si="32"/>
        <v>4</v>
      </c>
      <c r="F167" s="103">
        <f t="shared" si="32"/>
        <v>0.66666666666666663</v>
      </c>
      <c r="G167" s="103"/>
    </row>
    <row r="168" spans="1:22">
      <c r="A168" s="156" t="s">
        <v>209</v>
      </c>
      <c r="B168" s="103">
        <f t="shared" ref="B168:F168" si="33">(B149*2)/($G149+B$150)</f>
        <v>0</v>
      </c>
      <c r="C168" s="103">
        <f t="shared" si="33"/>
        <v>0.33333333333333331</v>
      </c>
      <c r="D168" s="103">
        <f t="shared" si="33"/>
        <v>0.5</v>
      </c>
      <c r="E168" s="103">
        <f t="shared" si="33"/>
        <v>0.8571428571428571</v>
      </c>
      <c r="F168" s="103">
        <f t="shared" si="33"/>
        <v>1.5</v>
      </c>
      <c r="G168" s="103"/>
    </row>
    <row r="169" spans="1:22">
      <c r="A169" s="156"/>
      <c r="B169" s="103"/>
      <c r="C169" s="103"/>
      <c r="D169" s="103"/>
      <c r="E169" s="103"/>
      <c r="F169" s="103"/>
      <c r="G169" s="103"/>
    </row>
    <row r="170" spans="1:22" s="34" customFormat="1">
      <c r="A170" s="156" t="s">
        <v>380</v>
      </c>
      <c r="B170" s="153" t="s">
        <v>268</v>
      </c>
      <c r="C170" s="153" t="s">
        <v>269</v>
      </c>
      <c r="D170" s="153" t="s">
        <v>270</v>
      </c>
      <c r="E170" s="153" t="s">
        <v>271</v>
      </c>
      <c r="F170" s="153" t="s">
        <v>272</v>
      </c>
      <c r="G170" s="153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</row>
    <row r="171" spans="1:22">
      <c r="A171" s="156" t="s">
        <v>206</v>
      </c>
      <c r="B171" s="103">
        <f t="shared" ref="B171:F174" si="34">B112/$G$150</f>
        <v>3.3333333333333335</v>
      </c>
      <c r="C171" s="103">
        <f t="shared" si="34"/>
        <v>6.333333333333333</v>
      </c>
      <c r="D171" s="103">
        <f t="shared" si="34"/>
        <v>4.666666666666667</v>
      </c>
      <c r="E171" s="103">
        <f t="shared" si="34"/>
        <v>2.3333333333333335</v>
      </c>
      <c r="F171" s="103">
        <f t="shared" si="34"/>
        <v>4</v>
      </c>
      <c r="G171" s="103"/>
    </row>
    <row r="172" spans="1:22">
      <c r="A172" s="156" t="s">
        <v>207</v>
      </c>
      <c r="B172" s="103">
        <f t="shared" si="34"/>
        <v>3.6666666666666665</v>
      </c>
      <c r="C172" s="103">
        <f t="shared" si="34"/>
        <v>2.3333333333333335</v>
      </c>
      <c r="D172" s="103">
        <f t="shared" si="34"/>
        <v>3.3333333333333335</v>
      </c>
      <c r="E172" s="103">
        <f t="shared" si="34"/>
        <v>0</v>
      </c>
      <c r="F172" s="103">
        <f t="shared" si="34"/>
        <v>0.33333333333333331</v>
      </c>
      <c r="G172" s="103"/>
    </row>
    <row r="173" spans="1:22">
      <c r="A173" s="156" t="s">
        <v>208</v>
      </c>
      <c r="B173" s="103">
        <f t="shared" si="34"/>
        <v>0</v>
      </c>
      <c r="C173" s="103">
        <f t="shared" si="34"/>
        <v>0</v>
      </c>
      <c r="D173" s="103">
        <f t="shared" si="34"/>
        <v>0.33333333333333331</v>
      </c>
      <c r="E173" s="103">
        <f t="shared" si="34"/>
        <v>4</v>
      </c>
      <c r="F173" s="103">
        <f t="shared" si="34"/>
        <v>0.33333333333333331</v>
      </c>
      <c r="G173" s="103"/>
    </row>
    <row r="174" spans="1:22">
      <c r="A174" s="156" t="s">
        <v>209</v>
      </c>
      <c r="B174" s="103">
        <f t="shared" si="34"/>
        <v>0</v>
      </c>
      <c r="C174" s="103">
        <f t="shared" si="34"/>
        <v>0.33333333333333331</v>
      </c>
      <c r="D174" s="103">
        <f t="shared" si="34"/>
        <v>0.66666666666666663</v>
      </c>
      <c r="E174" s="103">
        <f t="shared" si="34"/>
        <v>1</v>
      </c>
      <c r="F174" s="103">
        <f t="shared" si="34"/>
        <v>1</v>
      </c>
      <c r="G174" s="103"/>
    </row>
    <row r="175" spans="1:22">
      <c r="A175" s="156"/>
      <c r="B175" s="103"/>
      <c r="C175" s="103"/>
      <c r="D175" s="103"/>
      <c r="E175" s="103"/>
      <c r="F175" s="103"/>
      <c r="G175" s="103"/>
    </row>
    <row r="176" spans="1:22">
      <c r="B176" s="103"/>
      <c r="C176" s="103"/>
      <c r="D176" s="103"/>
      <c r="E176" s="103"/>
      <c r="F176" s="103"/>
      <c r="G176" s="103"/>
    </row>
    <row r="177" spans="1:22">
      <c r="A177" s="151" t="s">
        <v>381</v>
      </c>
      <c r="B177" s="103"/>
      <c r="C177" s="103"/>
      <c r="D177" s="103"/>
      <c r="E177" s="103"/>
      <c r="F177" s="103"/>
      <c r="G177" s="103"/>
    </row>
    <row r="178" spans="1:22">
      <c r="A178" s="156"/>
      <c r="B178" s="103"/>
      <c r="C178" s="103"/>
      <c r="D178" s="103"/>
      <c r="E178" s="103"/>
      <c r="F178" s="103"/>
      <c r="G178" s="103"/>
    </row>
    <row r="179" spans="1:22" s="34" customFormat="1">
      <c r="A179" s="171" t="s">
        <v>369</v>
      </c>
      <c r="B179" s="341" t="s">
        <v>268</v>
      </c>
      <c r="C179" s="341" t="s">
        <v>269</v>
      </c>
      <c r="D179" s="341" t="s">
        <v>270</v>
      </c>
      <c r="E179" s="341" t="s">
        <v>271</v>
      </c>
      <c r="F179" s="342" t="s">
        <v>272</v>
      </c>
      <c r="G179" s="153" t="s">
        <v>370</v>
      </c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</row>
    <row r="180" spans="1:22">
      <c r="A180" s="174" t="s">
        <v>206</v>
      </c>
      <c r="B180" s="88">
        <v>10</v>
      </c>
      <c r="C180" s="89">
        <v>19</v>
      </c>
      <c r="D180" s="89">
        <v>14</v>
      </c>
      <c r="E180" s="89">
        <v>7</v>
      </c>
      <c r="F180" s="90">
        <v>12</v>
      </c>
      <c r="G180" s="103">
        <f>MEDIAN(B180:F180)</f>
        <v>12</v>
      </c>
    </row>
    <row r="181" spans="1:22">
      <c r="A181" s="174" t="s">
        <v>207</v>
      </c>
      <c r="B181" s="92">
        <v>11</v>
      </c>
      <c r="C181" s="93">
        <v>7</v>
      </c>
      <c r="D181" s="93">
        <v>10</v>
      </c>
      <c r="E181" s="93">
        <v>0</v>
      </c>
      <c r="F181" s="94">
        <v>1</v>
      </c>
      <c r="G181" s="103">
        <f t="shared" ref="G181:G183" si="35">MEDIAN(B181:F181)</f>
        <v>7</v>
      </c>
    </row>
    <row r="182" spans="1:22">
      <c r="A182" s="174" t="s">
        <v>208</v>
      </c>
      <c r="B182" s="92">
        <v>0</v>
      </c>
      <c r="C182" s="93">
        <v>0</v>
      </c>
      <c r="D182" s="93">
        <v>1</v>
      </c>
      <c r="E182" s="93">
        <v>12</v>
      </c>
      <c r="F182" s="94">
        <v>1</v>
      </c>
      <c r="G182" s="103">
        <f t="shared" si="35"/>
        <v>1</v>
      </c>
    </row>
    <row r="183" spans="1:22">
      <c r="A183" s="175" t="s">
        <v>209</v>
      </c>
      <c r="B183" s="95">
        <v>0</v>
      </c>
      <c r="C183" s="96">
        <v>1</v>
      </c>
      <c r="D183" s="96">
        <v>2</v>
      </c>
      <c r="E183" s="96">
        <v>3</v>
      </c>
      <c r="F183" s="97">
        <v>3</v>
      </c>
      <c r="G183" s="103">
        <f t="shared" si="35"/>
        <v>2</v>
      </c>
    </row>
    <row r="184" spans="1:22">
      <c r="A184" s="140" t="s">
        <v>371</v>
      </c>
      <c r="B184" s="103">
        <f>MEDIAN(B180:B183)</f>
        <v>5</v>
      </c>
      <c r="C184" s="103">
        <f t="shared" ref="C184:F184" si="36">MEDIAN(C180:C183)</f>
        <v>4</v>
      </c>
      <c r="D184" s="103">
        <f t="shared" si="36"/>
        <v>6</v>
      </c>
      <c r="E184" s="103">
        <f t="shared" si="36"/>
        <v>5</v>
      </c>
      <c r="F184" s="103">
        <f t="shared" si="36"/>
        <v>2</v>
      </c>
      <c r="G184" s="154">
        <f>MEDIAN(B180:F183)</f>
        <v>3</v>
      </c>
    </row>
    <row r="185" spans="1:22">
      <c r="A185" s="140"/>
      <c r="B185" s="103"/>
      <c r="C185" s="103"/>
      <c r="D185" s="103"/>
      <c r="E185" s="103"/>
      <c r="F185" s="103"/>
      <c r="G185" s="103"/>
    </row>
    <row r="186" spans="1:22" s="34" customFormat="1">
      <c r="A186" s="156" t="s">
        <v>372</v>
      </c>
      <c r="B186" s="153" t="s">
        <v>268</v>
      </c>
      <c r="C186" s="153" t="s">
        <v>269</v>
      </c>
      <c r="D186" s="153" t="s">
        <v>270</v>
      </c>
      <c r="E186" s="153" t="s">
        <v>271</v>
      </c>
      <c r="F186" s="153" t="s">
        <v>272</v>
      </c>
      <c r="G186" s="153"/>
      <c r="H186" s="141"/>
      <c r="I186" s="41" t="s">
        <v>491</v>
      </c>
      <c r="J186" s="172" t="s">
        <v>268</v>
      </c>
      <c r="K186" s="172" t="s">
        <v>269</v>
      </c>
      <c r="L186" s="172" t="s">
        <v>270</v>
      </c>
      <c r="M186" s="172" t="s">
        <v>271</v>
      </c>
      <c r="N186" s="173" t="s">
        <v>272</v>
      </c>
      <c r="O186" s="141"/>
      <c r="P186" s="41" t="s">
        <v>492</v>
      </c>
      <c r="Q186" s="172" t="s">
        <v>268</v>
      </c>
      <c r="R186" s="172" t="s">
        <v>269</v>
      </c>
      <c r="S186" s="172" t="s">
        <v>270</v>
      </c>
      <c r="T186" s="172" t="s">
        <v>271</v>
      </c>
      <c r="U186" s="173" t="s">
        <v>272</v>
      </c>
      <c r="V186" s="141"/>
    </row>
    <row r="187" spans="1:22">
      <c r="A187" s="156" t="s">
        <v>206</v>
      </c>
      <c r="B187" s="103">
        <f>(B180-$G180)/$G180</f>
        <v>-0.16666666666666666</v>
      </c>
      <c r="C187" s="103">
        <f t="shared" ref="C187:F187" si="37">(C180-$G180)/$G180</f>
        <v>0.58333333333333337</v>
      </c>
      <c r="D187" s="103">
        <f t="shared" si="37"/>
        <v>0.16666666666666666</v>
      </c>
      <c r="E187" s="103">
        <f t="shared" si="37"/>
        <v>-0.41666666666666669</v>
      </c>
      <c r="F187" s="103">
        <f t="shared" si="37"/>
        <v>0</v>
      </c>
      <c r="G187" s="103"/>
      <c r="I187" s="174" t="s">
        <v>206</v>
      </c>
      <c r="J187" s="119">
        <v>-0.16666666666666666</v>
      </c>
      <c r="K187" s="120">
        <v>0.58333333333333337</v>
      </c>
      <c r="L187" s="120">
        <v>0.16666666666666666</v>
      </c>
      <c r="M187" s="120">
        <v>-0.41666666666666669</v>
      </c>
      <c r="N187" s="121">
        <v>0</v>
      </c>
      <c r="P187" s="174" t="s">
        <v>206</v>
      </c>
      <c r="Q187" s="119">
        <v>1</v>
      </c>
      <c r="R187" s="120">
        <v>3.75</v>
      </c>
      <c r="S187" s="120">
        <v>1.3333333333333333</v>
      </c>
      <c r="T187" s="120">
        <v>0.4</v>
      </c>
      <c r="U187" s="121">
        <v>5</v>
      </c>
    </row>
    <row r="188" spans="1:22">
      <c r="A188" s="156" t="s">
        <v>207</v>
      </c>
      <c r="B188" s="103">
        <f t="shared" ref="B188:F190" si="38">(B181-$G181)/$G181</f>
        <v>0.5714285714285714</v>
      </c>
      <c r="C188" s="103">
        <f t="shared" si="38"/>
        <v>0</v>
      </c>
      <c r="D188" s="103">
        <f>(D181-$G181)/$G181</f>
        <v>0.42857142857142855</v>
      </c>
      <c r="E188" s="103">
        <f t="shared" si="38"/>
        <v>-1</v>
      </c>
      <c r="F188" s="103">
        <f t="shared" si="38"/>
        <v>-0.8571428571428571</v>
      </c>
      <c r="G188" s="103"/>
      <c r="I188" s="174" t="s">
        <v>207</v>
      </c>
      <c r="J188" s="124">
        <v>0.5714285714285714</v>
      </c>
      <c r="K188" s="125">
        <v>0</v>
      </c>
      <c r="L188" s="125">
        <v>0.42857142857142855</v>
      </c>
      <c r="M188" s="125">
        <v>-1</v>
      </c>
      <c r="N188" s="126">
        <v>-0.8571428571428571</v>
      </c>
      <c r="P188" s="174" t="s">
        <v>207</v>
      </c>
      <c r="Q188" s="124">
        <v>1.2</v>
      </c>
      <c r="R188" s="125">
        <v>0.75</v>
      </c>
      <c r="S188" s="125">
        <v>0.66666666666666663</v>
      </c>
      <c r="T188" s="125">
        <v>-1</v>
      </c>
      <c r="U188" s="126">
        <v>-0.5</v>
      </c>
    </row>
    <row r="189" spans="1:22">
      <c r="A189" s="156" t="s">
        <v>208</v>
      </c>
      <c r="B189" s="103">
        <f t="shared" si="38"/>
        <v>-1</v>
      </c>
      <c r="C189" s="103">
        <f t="shared" si="38"/>
        <v>-1</v>
      </c>
      <c r="D189" s="103">
        <f t="shared" si="38"/>
        <v>0</v>
      </c>
      <c r="E189" s="103">
        <f t="shared" si="38"/>
        <v>11</v>
      </c>
      <c r="F189" s="103">
        <f t="shared" si="38"/>
        <v>0</v>
      </c>
      <c r="G189" s="103"/>
      <c r="I189" s="174" t="s">
        <v>208</v>
      </c>
      <c r="J189" s="124">
        <v>-1</v>
      </c>
      <c r="K189" s="125">
        <v>-1</v>
      </c>
      <c r="L189" s="125">
        <v>0</v>
      </c>
      <c r="M189" s="125">
        <v>11</v>
      </c>
      <c r="N189" s="126">
        <v>0</v>
      </c>
      <c r="P189" s="174" t="s">
        <v>208</v>
      </c>
      <c r="Q189" s="124">
        <v>-1</v>
      </c>
      <c r="R189" s="125">
        <v>-1</v>
      </c>
      <c r="S189" s="125">
        <v>-0.83333333333333337</v>
      </c>
      <c r="T189" s="125">
        <v>1.4</v>
      </c>
      <c r="U189" s="126">
        <v>-0.5</v>
      </c>
    </row>
    <row r="190" spans="1:22">
      <c r="A190" s="156" t="s">
        <v>209</v>
      </c>
      <c r="B190" s="103">
        <f t="shared" si="38"/>
        <v>-1</v>
      </c>
      <c r="C190" s="103">
        <f t="shared" si="38"/>
        <v>-0.5</v>
      </c>
      <c r="D190" s="103">
        <f t="shared" si="38"/>
        <v>0</v>
      </c>
      <c r="E190" s="103">
        <f t="shared" si="38"/>
        <v>0.5</v>
      </c>
      <c r="F190" s="103">
        <f t="shared" si="38"/>
        <v>0.5</v>
      </c>
      <c r="G190" s="103"/>
      <c r="I190" s="175" t="s">
        <v>209</v>
      </c>
      <c r="J190" s="132">
        <v>-1</v>
      </c>
      <c r="K190" s="133">
        <v>-0.5</v>
      </c>
      <c r="L190" s="133">
        <v>0</v>
      </c>
      <c r="M190" s="133">
        <v>0.5</v>
      </c>
      <c r="N190" s="134">
        <v>0.5</v>
      </c>
      <c r="P190" s="175" t="s">
        <v>209</v>
      </c>
      <c r="Q190" s="132">
        <v>-1</v>
      </c>
      <c r="R190" s="133">
        <v>-0.75</v>
      </c>
      <c r="S190" s="133">
        <v>-0.66666666666666663</v>
      </c>
      <c r="T190" s="133">
        <v>-0.4</v>
      </c>
      <c r="U190" s="134">
        <v>0.5</v>
      </c>
    </row>
    <row r="191" spans="1:22">
      <c r="A191" s="156"/>
      <c r="B191" s="103"/>
      <c r="C191" s="103"/>
      <c r="D191" s="103"/>
      <c r="E191" s="103"/>
      <c r="F191" s="103"/>
      <c r="G191" s="103"/>
    </row>
    <row r="192" spans="1:22" s="34" customFormat="1">
      <c r="A192" s="156" t="s">
        <v>382</v>
      </c>
      <c r="B192" s="153" t="s">
        <v>268</v>
      </c>
      <c r="C192" s="153" t="s">
        <v>269</v>
      </c>
      <c r="D192" s="153" t="s">
        <v>270</v>
      </c>
      <c r="E192" s="153" t="s">
        <v>271</v>
      </c>
      <c r="F192" s="153" t="s">
        <v>272</v>
      </c>
      <c r="G192" s="153"/>
      <c r="H192" s="141"/>
      <c r="I192" s="41" t="s">
        <v>493</v>
      </c>
      <c r="J192" s="172" t="s">
        <v>268</v>
      </c>
      <c r="K192" s="172" t="s">
        <v>269</v>
      </c>
      <c r="L192" s="172" t="s">
        <v>270</v>
      </c>
      <c r="M192" s="172" t="s">
        <v>271</v>
      </c>
      <c r="N192" s="173" t="s">
        <v>272</v>
      </c>
      <c r="O192" s="141"/>
      <c r="P192" s="41" t="s">
        <v>494</v>
      </c>
      <c r="Q192" s="172" t="s">
        <v>268</v>
      </c>
      <c r="R192" s="172" t="s">
        <v>269</v>
      </c>
      <c r="S192" s="172" t="s">
        <v>270</v>
      </c>
      <c r="T192" s="172" t="s">
        <v>271</v>
      </c>
      <c r="U192" s="173" t="s">
        <v>272</v>
      </c>
      <c r="V192" s="141"/>
    </row>
    <row r="193" spans="1:22">
      <c r="A193" s="156" t="s">
        <v>206</v>
      </c>
      <c r="B193" s="103">
        <f t="shared" ref="B193:F196" si="39">(B180-B$184)/B$184</f>
        <v>1</v>
      </c>
      <c r="C193" s="103">
        <f t="shared" si="39"/>
        <v>3.75</v>
      </c>
      <c r="D193" s="103">
        <f t="shared" si="39"/>
        <v>1.3333333333333333</v>
      </c>
      <c r="E193" s="103">
        <f t="shared" si="39"/>
        <v>0.4</v>
      </c>
      <c r="F193" s="103">
        <f t="shared" si="39"/>
        <v>5</v>
      </c>
      <c r="G193" s="103"/>
      <c r="I193" s="174" t="s">
        <v>206</v>
      </c>
      <c r="J193" s="119">
        <v>0.17647058823529413</v>
      </c>
      <c r="K193" s="120">
        <v>1.375</v>
      </c>
      <c r="L193" s="120">
        <v>0.55555555555555558</v>
      </c>
      <c r="M193" s="120">
        <v>-0.17647058823529413</v>
      </c>
      <c r="N193" s="121">
        <v>0.7142857142857143</v>
      </c>
      <c r="P193" s="174" t="s">
        <v>206</v>
      </c>
      <c r="Q193" s="119">
        <v>2.3333333333333335</v>
      </c>
      <c r="R193" s="120">
        <v>5.333333333333333</v>
      </c>
      <c r="S193" s="120">
        <v>3.6666666666666665</v>
      </c>
      <c r="T193" s="120">
        <v>1.3333333333333333</v>
      </c>
      <c r="U193" s="121">
        <v>3</v>
      </c>
    </row>
    <row r="194" spans="1:22">
      <c r="A194" s="156" t="s">
        <v>207</v>
      </c>
      <c r="B194" s="103">
        <f t="shared" si="39"/>
        <v>1.2</v>
      </c>
      <c r="C194" s="103">
        <f t="shared" si="39"/>
        <v>0.75</v>
      </c>
      <c r="D194" s="103">
        <f t="shared" si="39"/>
        <v>0.66666666666666663</v>
      </c>
      <c r="E194" s="103">
        <f t="shared" si="39"/>
        <v>-1</v>
      </c>
      <c r="F194" s="103">
        <f t="shared" si="39"/>
        <v>-0.5</v>
      </c>
      <c r="G194" s="103"/>
      <c r="I194" s="174" t="s">
        <v>207</v>
      </c>
      <c r="J194" s="124">
        <v>0.83333333333333337</v>
      </c>
      <c r="K194" s="125">
        <v>0.27272727272727271</v>
      </c>
      <c r="L194" s="125">
        <v>0.53846153846153844</v>
      </c>
      <c r="M194" s="125">
        <v>-1</v>
      </c>
      <c r="N194" s="126">
        <v>-0.77777777777777779</v>
      </c>
      <c r="P194" s="174" t="s">
        <v>207</v>
      </c>
      <c r="Q194" s="124">
        <v>2.6666666666666665</v>
      </c>
      <c r="R194" s="125">
        <v>1.3333333333333333</v>
      </c>
      <c r="S194" s="125">
        <v>2.3333333333333335</v>
      </c>
      <c r="T194" s="125">
        <v>-1</v>
      </c>
      <c r="U194" s="126">
        <v>-0.66666666666666663</v>
      </c>
    </row>
    <row r="195" spans="1:22">
      <c r="A195" s="156" t="s">
        <v>277</v>
      </c>
      <c r="B195" s="103">
        <f t="shared" si="39"/>
        <v>-1</v>
      </c>
      <c r="C195" s="103">
        <f t="shared" si="39"/>
        <v>-1</v>
      </c>
      <c r="D195" s="103">
        <f t="shared" si="39"/>
        <v>-0.83333333333333337</v>
      </c>
      <c r="E195" s="103">
        <f t="shared" si="39"/>
        <v>1.4</v>
      </c>
      <c r="F195" s="103">
        <f t="shared" si="39"/>
        <v>-0.5</v>
      </c>
      <c r="G195" s="103"/>
      <c r="I195" s="174" t="s">
        <v>208</v>
      </c>
      <c r="J195" s="124">
        <v>-1</v>
      </c>
      <c r="K195" s="125">
        <v>-1</v>
      </c>
      <c r="L195" s="125">
        <v>-0.7142857142857143</v>
      </c>
      <c r="M195" s="125">
        <v>3</v>
      </c>
      <c r="N195" s="126">
        <v>-0.33333333333333331</v>
      </c>
      <c r="P195" s="174" t="s">
        <v>208</v>
      </c>
      <c r="Q195" s="124">
        <v>-1</v>
      </c>
      <c r="R195" s="125">
        <v>-1</v>
      </c>
      <c r="S195" s="125">
        <v>-0.66666666666666663</v>
      </c>
      <c r="T195" s="125">
        <v>3</v>
      </c>
      <c r="U195" s="126">
        <v>-0.66666666666666663</v>
      </c>
    </row>
    <row r="196" spans="1:22">
      <c r="A196" s="156" t="s">
        <v>209</v>
      </c>
      <c r="B196" s="103">
        <f t="shared" si="39"/>
        <v>-1</v>
      </c>
      <c r="C196" s="103">
        <f t="shared" si="39"/>
        <v>-0.75</v>
      </c>
      <c r="D196" s="103">
        <f t="shared" si="39"/>
        <v>-0.66666666666666663</v>
      </c>
      <c r="E196" s="103">
        <f t="shared" si="39"/>
        <v>-0.4</v>
      </c>
      <c r="F196" s="103">
        <f t="shared" si="39"/>
        <v>0.5</v>
      </c>
      <c r="G196" s="103"/>
      <c r="I196" s="175" t="s">
        <v>209</v>
      </c>
      <c r="J196" s="132">
        <v>-1</v>
      </c>
      <c r="K196" s="133">
        <v>-0.66666666666666663</v>
      </c>
      <c r="L196" s="133">
        <v>-0.5</v>
      </c>
      <c r="M196" s="133">
        <v>-0.14285714285714285</v>
      </c>
      <c r="N196" s="134">
        <v>0.5</v>
      </c>
      <c r="P196" s="175" t="s">
        <v>209</v>
      </c>
      <c r="Q196" s="132">
        <v>-1</v>
      </c>
      <c r="R196" s="133">
        <v>-0.66666666666666663</v>
      </c>
      <c r="S196" s="133">
        <v>-0.33333333333333331</v>
      </c>
      <c r="T196" s="133">
        <v>0</v>
      </c>
      <c r="U196" s="134">
        <v>0</v>
      </c>
    </row>
    <row r="197" spans="1:22">
      <c r="A197" s="156"/>
      <c r="B197" s="103"/>
      <c r="C197" s="103"/>
      <c r="D197" s="103"/>
      <c r="E197" s="103"/>
      <c r="F197" s="103"/>
      <c r="G197" s="103"/>
    </row>
    <row r="198" spans="1:22" s="34" customFormat="1">
      <c r="A198" s="156" t="s">
        <v>383</v>
      </c>
      <c r="B198" s="153" t="s">
        <v>268</v>
      </c>
      <c r="C198" s="153" t="s">
        <v>269</v>
      </c>
      <c r="D198" s="153" t="s">
        <v>270</v>
      </c>
      <c r="E198" s="153" t="s">
        <v>271</v>
      </c>
      <c r="F198" s="153" t="s">
        <v>272</v>
      </c>
      <c r="G198" s="153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</row>
    <row r="199" spans="1:22">
      <c r="A199" s="156" t="s">
        <v>206</v>
      </c>
      <c r="B199" s="103">
        <f t="shared" ref="B199:F202" si="40">(2*B180-$G180-B$184)/($G180+B$184)</f>
        <v>0.17647058823529413</v>
      </c>
      <c r="C199" s="103">
        <f t="shared" si="40"/>
        <v>1.375</v>
      </c>
      <c r="D199" s="103">
        <f t="shared" si="40"/>
        <v>0.55555555555555558</v>
      </c>
      <c r="E199" s="103">
        <f t="shared" si="40"/>
        <v>-0.17647058823529413</v>
      </c>
      <c r="F199" s="103">
        <f t="shared" si="40"/>
        <v>0.7142857142857143</v>
      </c>
      <c r="G199" s="103"/>
    </row>
    <row r="200" spans="1:22">
      <c r="A200" s="156" t="s">
        <v>207</v>
      </c>
      <c r="B200" s="103">
        <f t="shared" si="40"/>
        <v>0.83333333333333337</v>
      </c>
      <c r="C200" s="103">
        <f t="shared" si="40"/>
        <v>0.27272727272727271</v>
      </c>
      <c r="D200" s="103">
        <f t="shared" si="40"/>
        <v>0.53846153846153844</v>
      </c>
      <c r="E200" s="103">
        <f t="shared" si="40"/>
        <v>-1</v>
      </c>
      <c r="F200" s="103">
        <f t="shared" si="40"/>
        <v>-0.77777777777777779</v>
      </c>
      <c r="G200" s="103"/>
    </row>
    <row r="201" spans="1:22">
      <c r="A201" s="156" t="s">
        <v>208</v>
      </c>
      <c r="B201" s="103">
        <f t="shared" si="40"/>
        <v>-1</v>
      </c>
      <c r="C201" s="103">
        <f t="shared" si="40"/>
        <v>-1</v>
      </c>
      <c r="D201" s="103">
        <f t="shared" si="40"/>
        <v>-0.7142857142857143</v>
      </c>
      <c r="E201" s="103">
        <f t="shared" si="40"/>
        <v>3</v>
      </c>
      <c r="F201" s="103">
        <f t="shared" si="40"/>
        <v>-0.33333333333333331</v>
      </c>
      <c r="G201" s="103"/>
    </row>
    <row r="202" spans="1:22">
      <c r="A202" s="156" t="s">
        <v>209</v>
      </c>
      <c r="B202" s="103">
        <f t="shared" si="40"/>
        <v>-1</v>
      </c>
      <c r="C202" s="103">
        <f t="shared" si="40"/>
        <v>-0.66666666666666663</v>
      </c>
      <c r="D202" s="103">
        <f t="shared" si="40"/>
        <v>-0.5</v>
      </c>
      <c r="E202" s="103">
        <f t="shared" si="40"/>
        <v>-0.14285714285714285</v>
      </c>
      <c r="F202" s="103">
        <f t="shared" si="40"/>
        <v>0.5</v>
      </c>
      <c r="G202" s="103"/>
    </row>
    <row r="203" spans="1:22">
      <c r="A203" s="156"/>
      <c r="B203" s="103"/>
      <c r="C203" s="103"/>
      <c r="D203" s="103"/>
      <c r="E203" s="103"/>
      <c r="F203" s="103"/>
      <c r="G203" s="103"/>
    </row>
    <row r="204" spans="1:22" s="34" customFormat="1">
      <c r="A204" s="156" t="s">
        <v>384</v>
      </c>
      <c r="B204" s="153" t="s">
        <v>268</v>
      </c>
      <c r="C204" s="153" t="s">
        <v>269</v>
      </c>
      <c r="D204" s="153" t="s">
        <v>270</v>
      </c>
      <c r="E204" s="153" t="s">
        <v>271</v>
      </c>
      <c r="F204" s="153" t="s">
        <v>272</v>
      </c>
      <c r="G204" s="153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</row>
    <row r="205" spans="1:22">
      <c r="A205" s="156" t="s">
        <v>206</v>
      </c>
      <c r="B205" s="103">
        <f t="shared" ref="B205:F208" si="41">(B180-$G$184)/$G$184</f>
        <v>2.3333333333333335</v>
      </c>
      <c r="C205" s="103">
        <f t="shared" si="41"/>
        <v>5.333333333333333</v>
      </c>
      <c r="D205" s="103">
        <f t="shared" si="41"/>
        <v>3.6666666666666665</v>
      </c>
      <c r="E205" s="103">
        <f t="shared" si="41"/>
        <v>1.3333333333333333</v>
      </c>
      <c r="F205" s="103">
        <f t="shared" si="41"/>
        <v>3</v>
      </c>
      <c r="G205" s="103"/>
    </row>
    <row r="206" spans="1:22">
      <c r="A206" s="156" t="s">
        <v>207</v>
      </c>
      <c r="B206" s="103">
        <f t="shared" si="41"/>
        <v>2.6666666666666665</v>
      </c>
      <c r="C206" s="103">
        <f t="shared" si="41"/>
        <v>1.3333333333333333</v>
      </c>
      <c r="D206" s="103">
        <f t="shared" si="41"/>
        <v>2.3333333333333335</v>
      </c>
      <c r="E206" s="103">
        <f t="shared" si="41"/>
        <v>-1</v>
      </c>
      <c r="F206" s="103">
        <f t="shared" si="41"/>
        <v>-0.66666666666666663</v>
      </c>
      <c r="G206" s="103"/>
    </row>
    <row r="207" spans="1:22">
      <c r="A207" s="156" t="s">
        <v>208</v>
      </c>
      <c r="B207" s="103">
        <f t="shared" si="41"/>
        <v>-1</v>
      </c>
      <c r="C207" s="103">
        <f t="shared" si="41"/>
        <v>-1</v>
      </c>
      <c r="D207" s="103">
        <f t="shared" si="41"/>
        <v>-0.66666666666666663</v>
      </c>
      <c r="E207" s="103">
        <f t="shared" si="41"/>
        <v>3</v>
      </c>
      <c r="F207" s="103">
        <f t="shared" si="41"/>
        <v>-0.66666666666666663</v>
      </c>
      <c r="G207" s="103"/>
    </row>
    <row r="208" spans="1:22">
      <c r="A208" s="156" t="s">
        <v>209</v>
      </c>
      <c r="B208" s="103">
        <f t="shared" si="41"/>
        <v>-1</v>
      </c>
      <c r="C208" s="103">
        <f t="shared" si="41"/>
        <v>-0.66666666666666663</v>
      </c>
      <c r="D208" s="103">
        <f t="shared" si="41"/>
        <v>-0.33333333333333331</v>
      </c>
      <c r="E208" s="103">
        <f t="shared" si="41"/>
        <v>0</v>
      </c>
      <c r="F208" s="103">
        <f t="shared" si="41"/>
        <v>0</v>
      </c>
      <c r="G208" s="103"/>
    </row>
    <row r="209" spans="1:22">
      <c r="A209" s="101"/>
      <c r="B209" s="103"/>
      <c r="C209" s="103"/>
      <c r="D209" s="103"/>
      <c r="E209" s="103"/>
      <c r="F209" s="103"/>
      <c r="G209" s="103"/>
    </row>
    <row r="211" spans="1:22">
      <c r="A211" s="151" t="s">
        <v>385</v>
      </c>
      <c r="B211" s="103"/>
      <c r="C211" s="103"/>
      <c r="D211" s="103"/>
      <c r="E211" s="103"/>
      <c r="F211" s="103"/>
      <c r="G211" s="103"/>
    </row>
    <row r="212" spans="1:22">
      <c r="B212" s="103"/>
      <c r="C212" s="103"/>
      <c r="D212" s="103"/>
      <c r="E212" s="103"/>
      <c r="F212" s="103"/>
      <c r="G212" s="103"/>
    </row>
    <row r="213" spans="1:22">
      <c r="A213" s="152" t="s">
        <v>386</v>
      </c>
      <c r="B213" s="103"/>
      <c r="C213" s="103"/>
      <c r="D213" s="103"/>
      <c r="E213" s="103"/>
      <c r="F213" s="103"/>
      <c r="G213" s="103"/>
    </row>
    <row r="214" spans="1:22">
      <c r="A214" s="140"/>
      <c r="B214" s="103"/>
      <c r="C214" s="103"/>
      <c r="D214" s="103"/>
      <c r="E214" s="103"/>
      <c r="F214" s="103"/>
      <c r="G214" s="103"/>
    </row>
    <row r="215" spans="1:22" s="34" customFormat="1">
      <c r="A215" s="171" t="s">
        <v>369</v>
      </c>
      <c r="B215" s="341" t="s">
        <v>268</v>
      </c>
      <c r="C215" s="341" t="s">
        <v>269</v>
      </c>
      <c r="D215" s="341" t="s">
        <v>270</v>
      </c>
      <c r="E215" s="341" t="s">
        <v>271</v>
      </c>
      <c r="F215" s="342" t="s">
        <v>272</v>
      </c>
      <c r="G215" s="153" t="s">
        <v>231</v>
      </c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</row>
    <row r="216" spans="1:22">
      <c r="A216" s="174" t="s">
        <v>206</v>
      </c>
      <c r="B216" s="88">
        <v>10</v>
      </c>
      <c r="C216" s="89">
        <v>19</v>
      </c>
      <c r="D216" s="89">
        <v>14</v>
      </c>
      <c r="E216" s="89">
        <v>7</v>
      </c>
      <c r="F216" s="90">
        <v>12</v>
      </c>
      <c r="G216" s="103">
        <f>(MAX(B216:F216)+MIN(B216:F216))/2</f>
        <v>13</v>
      </c>
    </row>
    <row r="217" spans="1:22">
      <c r="A217" s="174" t="s">
        <v>207</v>
      </c>
      <c r="B217" s="92">
        <v>11</v>
      </c>
      <c r="C217" s="93">
        <v>7</v>
      </c>
      <c r="D217" s="93">
        <v>10</v>
      </c>
      <c r="E217" s="93">
        <v>0</v>
      </c>
      <c r="F217" s="94">
        <v>1</v>
      </c>
      <c r="G217" s="103">
        <f>(MAX(B217:F217)+MIN(B217:F217))/2</f>
        <v>5.5</v>
      </c>
    </row>
    <row r="218" spans="1:22">
      <c r="A218" s="174" t="s">
        <v>208</v>
      </c>
      <c r="B218" s="92">
        <v>0</v>
      </c>
      <c r="C218" s="93">
        <v>0</v>
      </c>
      <c r="D218" s="93">
        <v>1</v>
      </c>
      <c r="E218" s="93">
        <v>12</v>
      </c>
      <c r="F218" s="94">
        <v>1</v>
      </c>
      <c r="G218" s="103">
        <f>(MAX(B218:F218)+MIN(B218:F218))/2</f>
        <v>6</v>
      </c>
    </row>
    <row r="219" spans="1:22">
      <c r="A219" s="175" t="s">
        <v>209</v>
      </c>
      <c r="B219" s="95">
        <v>0</v>
      </c>
      <c r="C219" s="96">
        <v>1</v>
      </c>
      <c r="D219" s="96">
        <v>2</v>
      </c>
      <c r="E219" s="96">
        <v>3</v>
      </c>
      <c r="F219" s="97">
        <v>3</v>
      </c>
      <c r="G219" s="103">
        <f>(MAX(B219:F219)+MIN(B219:F219))/2</f>
        <v>1.5</v>
      </c>
    </row>
    <row r="220" spans="1:22">
      <c r="A220" s="140" t="s">
        <v>387</v>
      </c>
      <c r="B220" s="103">
        <f>(MAX(B216:B219)+MIN(B216:B219))/2</f>
        <v>5.5</v>
      </c>
      <c r="C220" s="103">
        <f>(MAX(C216:C219)+MIN(C216:C219))/2</f>
        <v>9.5</v>
      </c>
      <c r="D220" s="103">
        <f>(MAX(D216:D219)+MIN(D216:D219))/2</f>
        <v>7.5</v>
      </c>
      <c r="E220" s="103">
        <f>(MAX(E216:E219)+MIN(E216:E219))/2</f>
        <v>6</v>
      </c>
      <c r="F220" s="103">
        <f>(MAX(F216:F219)+MIN(F216:F219))/2</f>
        <v>6.5</v>
      </c>
      <c r="G220" s="154">
        <f>(MAX(B216:F219)+MIN(B216:F219))/2</f>
        <v>9.5</v>
      </c>
    </row>
    <row r="221" spans="1:22">
      <c r="A221" s="140"/>
      <c r="B221" s="103"/>
      <c r="C221" s="103"/>
      <c r="D221" s="103"/>
      <c r="E221" s="103"/>
      <c r="F221" s="103"/>
      <c r="G221" s="103"/>
    </row>
    <row r="222" spans="1:22" s="34" customFormat="1">
      <c r="A222" s="156" t="s">
        <v>388</v>
      </c>
      <c r="B222" s="153" t="s">
        <v>268</v>
      </c>
      <c r="C222" s="153" t="s">
        <v>269</v>
      </c>
      <c r="D222" s="153" t="s">
        <v>270</v>
      </c>
      <c r="E222" s="153" t="s">
        <v>271</v>
      </c>
      <c r="F222" s="153" t="s">
        <v>272</v>
      </c>
      <c r="G222" s="153"/>
      <c r="H222" s="141"/>
      <c r="I222" s="41" t="s">
        <v>496</v>
      </c>
      <c r="J222" s="42" t="s">
        <v>268</v>
      </c>
      <c r="K222" s="42" t="s">
        <v>269</v>
      </c>
      <c r="L222" s="42" t="s">
        <v>270</v>
      </c>
      <c r="M222" s="42" t="s">
        <v>271</v>
      </c>
      <c r="N222" s="43" t="s">
        <v>272</v>
      </c>
      <c r="O222" s="141"/>
      <c r="P222" s="41" t="s">
        <v>497</v>
      </c>
      <c r="Q222" s="172" t="s">
        <v>268</v>
      </c>
      <c r="R222" s="172" t="s">
        <v>269</v>
      </c>
      <c r="S222" s="172" t="s">
        <v>270</v>
      </c>
      <c r="T222" s="172" t="s">
        <v>271</v>
      </c>
      <c r="U222" s="173" t="s">
        <v>272</v>
      </c>
      <c r="V222" s="141"/>
    </row>
    <row r="223" spans="1:22">
      <c r="A223" s="156" t="s">
        <v>206</v>
      </c>
      <c r="B223" s="103">
        <f t="shared" ref="B223:F226" si="42">B216-$G216</f>
        <v>-3</v>
      </c>
      <c r="C223" s="103">
        <f t="shared" si="42"/>
        <v>6</v>
      </c>
      <c r="D223" s="103">
        <f t="shared" si="42"/>
        <v>1</v>
      </c>
      <c r="E223" s="103">
        <f t="shared" si="42"/>
        <v>-6</v>
      </c>
      <c r="F223" s="103">
        <f t="shared" si="42"/>
        <v>-1</v>
      </c>
      <c r="G223" s="103"/>
      <c r="I223" s="44" t="s">
        <v>206</v>
      </c>
      <c r="J223" s="46">
        <v>-3</v>
      </c>
      <c r="K223" s="47">
        <v>6</v>
      </c>
      <c r="L223" s="47">
        <v>1</v>
      </c>
      <c r="M223" s="47">
        <v>-6</v>
      </c>
      <c r="N223" s="48">
        <v>-1</v>
      </c>
      <c r="P223" s="174" t="s">
        <v>206</v>
      </c>
      <c r="Q223" s="119">
        <v>4.5</v>
      </c>
      <c r="R223" s="120">
        <v>9.5</v>
      </c>
      <c r="S223" s="120">
        <v>6.5</v>
      </c>
      <c r="T223" s="120">
        <v>1</v>
      </c>
      <c r="U223" s="121">
        <v>5.5</v>
      </c>
    </row>
    <row r="224" spans="1:22">
      <c r="A224" s="156" t="s">
        <v>207</v>
      </c>
      <c r="B224" s="103">
        <f t="shared" si="42"/>
        <v>5.5</v>
      </c>
      <c r="C224" s="103">
        <f t="shared" si="42"/>
        <v>1.5</v>
      </c>
      <c r="D224" s="103">
        <f t="shared" si="42"/>
        <v>4.5</v>
      </c>
      <c r="E224" s="103">
        <f t="shared" si="42"/>
        <v>-5.5</v>
      </c>
      <c r="F224" s="103">
        <f t="shared" si="42"/>
        <v>-4.5</v>
      </c>
      <c r="G224" s="103"/>
      <c r="I224" s="44" t="s">
        <v>207</v>
      </c>
      <c r="J224" s="49">
        <v>5.5</v>
      </c>
      <c r="K224" s="50">
        <v>1.5</v>
      </c>
      <c r="L224" s="50">
        <v>4.5</v>
      </c>
      <c r="M224" s="50">
        <v>-5.5</v>
      </c>
      <c r="N224" s="51">
        <v>-4.5</v>
      </c>
      <c r="P224" s="174" t="s">
        <v>207</v>
      </c>
      <c r="Q224" s="124">
        <v>5.5</v>
      </c>
      <c r="R224" s="125">
        <v>-2.5</v>
      </c>
      <c r="S224" s="125">
        <v>2.5</v>
      </c>
      <c r="T224" s="125">
        <v>-6</v>
      </c>
      <c r="U224" s="126">
        <v>-5.5</v>
      </c>
    </row>
    <row r="225" spans="1:22">
      <c r="A225" s="156" t="s">
        <v>208</v>
      </c>
      <c r="B225" s="103">
        <f t="shared" si="42"/>
        <v>-6</v>
      </c>
      <c r="C225" s="103">
        <f t="shared" si="42"/>
        <v>-6</v>
      </c>
      <c r="D225" s="103">
        <f t="shared" si="42"/>
        <v>-5</v>
      </c>
      <c r="E225" s="103">
        <f t="shared" si="42"/>
        <v>6</v>
      </c>
      <c r="F225" s="103">
        <f t="shared" si="42"/>
        <v>-5</v>
      </c>
      <c r="G225" s="103"/>
      <c r="I225" s="44" t="s">
        <v>208</v>
      </c>
      <c r="J225" s="49">
        <v>-6</v>
      </c>
      <c r="K225" s="50">
        <v>-6</v>
      </c>
      <c r="L225" s="50">
        <v>-5</v>
      </c>
      <c r="M225" s="50">
        <v>6</v>
      </c>
      <c r="N225" s="51">
        <v>-5</v>
      </c>
      <c r="P225" s="174" t="s">
        <v>208</v>
      </c>
      <c r="Q225" s="124">
        <v>-5.5</v>
      </c>
      <c r="R225" s="125">
        <v>-9.5</v>
      </c>
      <c r="S225" s="125">
        <v>-6.5</v>
      </c>
      <c r="T225" s="125">
        <v>6</v>
      </c>
      <c r="U225" s="126">
        <v>-5.5</v>
      </c>
    </row>
    <row r="226" spans="1:22">
      <c r="A226" s="156" t="s">
        <v>209</v>
      </c>
      <c r="B226" s="103">
        <f t="shared" si="42"/>
        <v>-1.5</v>
      </c>
      <c r="C226" s="103">
        <f t="shared" si="42"/>
        <v>-0.5</v>
      </c>
      <c r="D226" s="103">
        <f t="shared" si="42"/>
        <v>0.5</v>
      </c>
      <c r="E226" s="103">
        <f t="shared" si="42"/>
        <v>1.5</v>
      </c>
      <c r="F226" s="103">
        <f t="shared" si="42"/>
        <v>1.5</v>
      </c>
      <c r="G226" s="103"/>
      <c r="I226" s="45" t="s">
        <v>209</v>
      </c>
      <c r="J226" s="52">
        <v>-1.5</v>
      </c>
      <c r="K226" s="53">
        <v>-0.5</v>
      </c>
      <c r="L226" s="53">
        <v>0.5</v>
      </c>
      <c r="M226" s="53">
        <v>1.5</v>
      </c>
      <c r="N226" s="54">
        <v>1.5</v>
      </c>
      <c r="P226" s="175" t="s">
        <v>209</v>
      </c>
      <c r="Q226" s="132">
        <v>-5.5</v>
      </c>
      <c r="R226" s="133">
        <v>-8.5</v>
      </c>
      <c r="S226" s="133">
        <v>-5.5</v>
      </c>
      <c r="T226" s="133">
        <v>-3</v>
      </c>
      <c r="U226" s="134">
        <v>-3.5</v>
      </c>
    </row>
    <row r="227" spans="1:22">
      <c r="A227" s="156"/>
      <c r="B227" s="103"/>
      <c r="C227" s="103"/>
      <c r="D227" s="103"/>
      <c r="E227" s="103"/>
      <c r="F227" s="103"/>
      <c r="G227" s="103"/>
    </row>
    <row r="228" spans="1:22" s="34" customFormat="1">
      <c r="A228" s="156" t="s">
        <v>389</v>
      </c>
      <c r="B228" s="153" t="s">
        <v>268</v>
      </c>
      <c r="C228" s="153" t="s">
        <v>269</v>
      </c>
      <c r="D228" s="153" t="s">
        <v>270</v>
      </c>
      <c r="E228" s="153" t="s">
        <v>271</v>
      </c>
      <c r="F228" s="153" t="s">
        <v>272</v>
      </c>
      <c r="G228" s="153"/>
      <c r="H228" s="141"/>
      <c r="I228" s="41" t="s">
        <v>498</v>
      </c>
      <c r="J228" s="172" t="s">
        <v>268</v>
      </c>
      <c r="K228" s="172" t="s">
        <v>269</v>
      </c>
      <c r="L228" s="172" t="s">
        <v>270</v>
      </c>
      <c r="M228" s="172" t="s">
        <v>271</v>
      </c>
      <c r="N228" s="173" t="s">
        <v>272</v>
      </c>
      <c r="O228" s="141"/>
      <c r="P228" s="41" t="s">
        <v>495</v>
      </c>
      <c r="Q228" s="172" t="s">
        <v>268</v>
      </c>
      <c r="R228" s="172" t="s">
        <v>269</v>
      </c>
      <c r="S228" s="172" t="s">
        <v>270</v>
      </c>
      <c r="T228" s="172" t="s">
        <v>271</v>
      </c>
      <c r="U228" s="173" t="s">
        <v>272</v>
      </c>
      <c r="V228" s="141"/>
    </row>
    <row r="229" spans="1:22">
      <c r="A229" s="156" t="s">
        <v>206</v>
      </c>
      <c r="B229" s="103">
        <f t="shared" ref="B229:F232" si="43">B216-B$220</f>
        <v>4.5</v>
      </c>
      <c r="C229" s="103">
        <f t="shared" si="43"/>
        <v>9.5</v>
      </c>
      <c r="D229" s="103">
        <f t="shared" si="43"/>
        <v>6.5</v>
      </c>
      <c r="E229" s="103">
        <f t="shared" si="43"/>
        <v>1</v>
      </c>
      <c r="F229" s="103">
        <f t="shared" si="43"/>
        <v>5.5</v>
      </c>
      <c r="G229" s="103"/>
      <c r="I229" s="174" t="s">
        <v>206</v>
      </c>
      <c r="J229" s="119">
        <v>0.75</v>
      </c>
      <c r="K229" s="120">
        <v>7.75</v>
      </c>
      <c r="L229" s="120">
        <v>3.75</v>
      </c>
      <c r="M229" s="120">
        <v>-2.5</v>
      </c>
      <c r="N229" s="121">
        <v>2.25</v>
      </c>
      <c r="P229" s="174" t="s">
        <v>206</v>
      </c>
      <c r="Q229" s="119">
        <v>0.5</v>
      </c>
      <c r="R229" s="120">
        <v>9.5</v>
      </c>
      <c r="S229" s="120">
        <v>4.5</v>
      </c>
      <c r="T229" s="120">
        <v>-2.5</v>
      </c>
      <c r="U229" s="121">
        <v>2.5</v>
      </c>
    </row>
    <row r="230" spans="1:22">
      <c r="A230" s="156" t="s">
        <v>207</v>
      </c>
      <c r="B230" s="103">
        <f t="shared" si="43"/>
        <v>5.5</v>
      </c>
      <c r="C230" s="103">
        <f t="shared" si="43"/>
        <v>-2.5</v>
      </c>
      <c r="D230" s="103">
        <f t="shared" si="43"/>
        <v>2.5</v>
      </c>
      <c r="E230" s="103">
        <f t="shared" si="43"/>
        <v>-6</v>
      </c>
      <c r="F230" s="103">
        <f t="shared" si="43"/>
        <v>-5.5</v>
      </c>
      <c r="G230" s="103"/>
      <c r="I230" s="174" t="s">
        <v>207</v>
      </c>
      <c r="J230" s="124">
        <v>5.5</v>
      </c>
      <c r="K230" s="125">
        <v>-0.5</v>
      </c>
      <c r="L230" s="125">
        <v>3.5</v>
      </c>
      <c r="M230" s="125">
        <v>-5.75</v>
      </c>
      <c r="N230" s="126">
        <v>-5</v>
      </c>
      <c r="P230" s="174" t="s">
        <v>207</v>
      </c>
      <c r="Q230" s="124">
        <v>1.5</v>
      </c>
      <c r="R230" s="125">
        <v>-2.5</v>
      </c>
      <c r="S230" s="125">
        <v>0.5</v>
      </c>
      <c r="T230" s="125">
        <v>-9.5</v>
      </c>
      <c r="U230" s="126">
        <v>-8.5</v>
      </c>
    </row>
    <row r="231" spans="1:22">
      <c r="A231" s="156" t="s">
        <v>208</v>
      </c>
      <c r="B231" s="103">
        <f t="shared" si="43"/>
        <v>-5.5</v>
      </c>
      <c r="C231" s="103">
        <f t="shared" si="43"/>
        <v>-9.5</v>
      </c>
      <c r="D231" s="103">
        <f t="shared" si="43"/>
        <v>-6.5</v>
      </c>
      <c r="E231" s="103">
        <f t="shared" si="43"/>
        <v>6</v>
      </c>
      <c r="F231" s="103">
        <f t="shared" si="43"/>
        <v>-5.5</v>
      </c>
      <c r="G231" s="103"/>
      <c r="I231" s="174" t="s">
        <v>208</v>
      </c>
      <c r="J231" s="124">
        <v>-5.75</v>
      </c>
      <c r="K231" s="125">
        <v>-7.75</v>
      </c>
      <c r="L231" s="125">
        <v>-5.75</v>
      </c>
      <c r="M231" s="125">
        <v>6</v>
      </c>
      <c r="N231" s="126">
        <v>-5.25</v>
      </c>
      <c r="P231" s="174" t="s">
        <v>208</v>
      </c>
      <c r="Q231" s="124">
        <v>-9.5</v>
      </c>
      <c r="R231" s="125">
        <v>-9.5</v>
      </c>
      <c r="S231" s="125">
        <v>-8.5</v>
      </c>
      <c r="T231" s="125">
        <v>2.5</v>
      </c>
      <c r="U231" s="126">
        <v>-8.5</v>
      </c>
    </row>
    <row r="232" spans="1:22">
      <c r="A232" s="156" t="s">
        <v>209</v>
      </c>
      <c r="B232" s="103">
        <f t="shared" si="43"/>
        <v>-5.5</v>
      </c>
      <c r="C232" s="103">
        <f t="shared" si="43"/>
        <v>-8.5</v>
      </c>
      <c r="D232" s="103">
        <f t="shared" si="43"/>
        <v>-5.5</v>
      </c>
      <c r="E232" s="103">
        <f t="shared" si="43"/>
        <v>-3</v>
      </c>
      <c r="F232" s="103">
        <f t="shared" si="43"/>
        <v>-3.5</v>
      </c>
      <c r="G232" s="103"/>
      <c r="I232" s="175" t="s">
        <v>209</v>
      </c>
      <c r="J232" s="132">
        <v>-3.5</v>
      </c>
      <c r="K232" s="133">
        <v>-4.5</v>
      </c>
      <c r="L232" s="133">
        <v>-2.5</v>
      </c>
      <c r="M232" s="133">
        <v>-0.75</v>
      </c>
      <c r="N232" s="134">
        <v>-1</v>
      </c>
      <c r="P232" s="175" t="s">
        <v>209</v>
      </c>
      <c r="Q232" s="132">
        <v>-9.5</v>
      </c>
      <c r="R232" s="133">
        <v>-8.5</v>
      </c>
      <c r="S232" s="133">
        <v>-7.5</v>
      </c>
      <c r="T232" s="133">
        <v>-6.5</v>
      </c>
      <c r="U232" s="134">
        <v>-6.5</v>
      </c>
    </row>
    <row r="233" spans="1:22">
      <c r="A233" s="156"/>
      <c r="B233" s="103"/>
      <c r="C233" s="103"/>
      <c r="D233" s="103"/>
      <c r="E233" s="103"/>
      <c r="F233" s="103"/>
      <c r="G233" s="103"/>
    </row>
    <row r="234" spans="1:22" s="34" customFormat="1">
      <c r="A234" s="156" t="s">
        <v>390</v>
      </c>
      <c r="B234" s="153" t="s">
        <v>268</v>
      </c>
      <c r="C234" s="153" t="s">
        <v>269</v>
      </c>
      <c r="D234" s="153" t="s">
        <v>270</v>
      </c>
      <c r="E234" s="153" t="s">
        <v>271</v>
      </c>
      <c r="F234" s="153" t="s">
        <v>272</v>
      </c>
      <c r="G234" s="153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</row>
    <row r="235" spans="1:22">
      <c r="A235" s="156" t="s">
        <v>206</v>
      </c>
      <c r="B235" s="103">
        <f t="shared" ref="B235:F238" si="44">(B223+B229)/2</f>
        <v>0.75</v>
      </c>
      <c r="C235" s="103">
        <f t="shared" si="44"/>
        <v>7.75</v>
      </c>
      <c r="D235" s="103">
        <f t="shared" si="44"/>
        <v>3.75</v>
      </c>
      <c r="E235" s="103">
        <f t="shared" si="44"/>
        <v>-2.5</v>
      </c>
      <c r="F235" s="103">
        <f t="shared" si="44"/>
        <v>2.25</v>
      </c>
      <c r="G235" s="103"/>
    </row>
    <row r="236" spans="1:22">
      <c r="A236" s="156" t="s">
        <v>276</v>
      </c>
      <c r="B236" s="103">
        <f t="shared" si="44"/>
        <v>5.5</v>
      </c>
      <c r="C236" s="103">
        <f t="shared" si="44"/>
        <v>-0.5</v>
      </c>
      <c r="D236" s="103">
        <f t="shared" si="44"/>
        <v>3.5</v>
      </c>
      <c r="E236" s="103">
        <f t="shared" si="44"/>
        <v>-5.75</v>
      </c>
      <c r="F236" s="103">
        <f t="shared" si="44"/>
        <v>-5</v>
      </c>
      <c r="G236" s="103"/>
    </row>
    <row r="237" spans="1:22">
      <c r="A237" s="156" t="s">
        <v>208</v>
      </c>
      <c r="B237" s="103">
        <f t="shared" si="44"/>
        <v>-5.75</v>
      </c>
      <c r="C237" s="103">
        <f t="shared" si="44"/>
        <v>-7.75</v>
      </c>
      <c r="D237" s="103">
        <f t="shared" si="44"/>
        <v>-5.75</v>
      </c>
      <c r="E237" s="103">
        <f t="shared" si="44"/>
        <v>6</v>
      </c>
      <c r="F237" s="103">
        <f t="shared" si="44"/>
        <v>-5.25</v>
      </c>
      <c r="G237" s="103"/>
    </row>
    <row r="238" spans="1:22">
      <c r="A238" s="156" t="s">
        <v>209</v>
      </c>
      <c r="B238" s="103">
        <f t="shared" si="44"/>
        <v>-3.5</v>
      </c>
      <c r="C238" s="103">
        <f t="shared" si="44"/>
        <v>-4.5</v>
      </c>
      <c r="D238" s="103">
        <f t="shared" si="44"/>
        <v>-2.5</v>
      </c>
      <c r="E238" s="103">
        <f t="shared" si="44"/>
        <v>-0.75</v>
      </c>
      <c r="F238" s="103">
        <f t="shared" si="44"/>
        <v>-1</v>
      </c>
      <c r="G238" s="103"/>
    </row>
    <row r="239" spans="1:22">
      <c r="A239" s="156"/>
      <c r="B239" s="103"/>
      <c r="C239" s="103"/>
      <c r="D239" s="103"/>
      <c r="E239" s="103"/>
      <c r="F239" s="103"/>
      <c r="G239" s="103"/>
    </row>
    <row r="240" spans="1:22" s="34" customFormat="1">
      <c r="A240" s="156" t="s">
        <v>391</v>
      </c>
      <c r="B240" s="153" t="s">
        <v>268</v>
      </c>
      <c r="C240" s="153" t="s">
        <v>269</v>
      </c>
      <c r="D240" s="153" t="s">
        <v>270</v>
      </c>
      <c r="E240" s="153" t="s">
        <v>271</v>
      </c>
      <c r="F240" s="153" t="s">
        <v>272</v>
      </c>
      <c r="G240" s="153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</row>
    <row r="241" spans="1:22">
      <c r="A241" s="156" t="s">
        <v>206</v>
      </c>
      <c r="B241" s="103">
        <f t="shared" ref="B241:F244" si="45">B216-$G$220</f>
        <v>0.5</v>
      </c>
      <c r="C241" s="103">
        <f t="shared" si="45"/>
        <v>9.5</v>
      </c>
      <c r="D241" s="103">
        <f t="shared" si="45"/>
        <v>4.5</v>
      </c>
      <c r="E241" s="103">
        <f t="shared" si="45"/>
        <v>-2.5</v>
      </c>
      <c r="F241" s="103">
        <f t="shared" si="45"/>
        <v>2.5</v>
      </c>
      <c r="G241" s="103"/>
    </row>
    <row r="242" spans="1:22">
      <c r="A242" s="156" t="s">
        <v>207</v>
      </c>
      <c r="B242" s="103">
        <f t="shared" si="45"/>
        <v>1.5</v>
      </c>
      <c r="C242" s="103">
        <f t="shared" si="45"/>
        <v>-2.5</v>
      </c>
      <c r="D242" s="103">
        <f t="shared" si="45"/>
        <v>0.5</v>
      </c>
      <c r="E242" s="103">
        <f t="shared" si="45"/>
        <v>-9.5</v>
      </c>
      <c r="F242" s="103">
        <f t="shared" si="45"/>
        <v>-8.5</v>
      </c>
      <c r="G242" s="103"/>
    </row>
    <row r="243" spans="1:22">
      <c r="A243" s="156" t="s">
        <v>208</v>
      </c>
      <c r="B243" s="103">
        <f t="shared" si="45"/>
        <v>-9.5</v>
      </c>
      <c r="C243" s="103">
        <f t="shared" si="45"/>
        <v>-9.5</v>
      </c>
      <c r="D243" s="103">
        <f t="shared" si="45"/>
        <v>-8.5</v>
      </c>
      <c r="E243" s="103">
        <f t="shared" si="45"/>
        <v>2.5</v>
      </c>
      <c r="F243" s="103">
        <f t="shared" si="45"/>
        <v>-8.5</v>
      </c>
      <c r="G243" s="103"/>
    </row>
    <row r="244" spans="1:22">
      <c r="A244" s="156" t="s">
        <v>209</v>
      </c>
      <c r="B244" s="103">
        <f t="shared" si="45"/>
        <v>-9.5</v>
      </c>
      <c r="C244" s="103">
        <f t="shared" si="45"/>
        <v>-8.5</v>
      </c>
      <c r="D244" s="103">
        <f t="shared" si="45"/>
        <v>-7.5</v>
      </c>
      <c r="E244" s="103">
        <f t="shared" si="45"/>
        <v>-6.5</v>
      </c>
      <c r="F244" s="103">
        <f t="shared" si="45"/>
        <v>-6.5</v>
      </c>
      <c r="G244" s="103"/>
    </row>
    <row r="245" spans="1:22">
      <c r="A245" s="156"/>
      <c r="B245" s="103"/>
      <c r="C245" s="103"/>
      <c r="D245" s="103"/>
      <c r="E245" s="103"/>
      <c r="F245" s="103"/>
      <c r="G245" s="103"/>
    </row>
    <row r="247" spans="1:22">
      <c r="A247" s="139" t="s">
        <v>392</v>
      </c>
      <c r="B247" s="103"/>
      <c r="C247" s="103"/>
      <c r="D247" s="103"/>
      <c r="E247" s="103"/>
      <c r="F247" s="103"/>
      <c r="G247" s="103"/>
    </row>
    <row r="248" spans="1:22">
      <c r="A248" s="157"/>
      <c r="B248" s="103"/>
      <c r="C248" s="103"/>
      <c r="D248" s="103"/>
      <c r="E248" s="103"/>
      <c r="F248" s="103"/>
      <c r="G248" s="103"/>
    </row>
    <row r="249" spans="1:22" s="34" customFormat="1">
      <c r="A249" s="331" t="s">
        <v>369</v>
      </c>
      <c r="B249" s="341" t="s">
        <v>268</v>
      </c>
      <c r="C249" s="341" t="s">
        <v>269</v>
      </c>
      <c r="D249" s="341" t="s">
        <v>270</v>
      </c>
      <c r="E249" s="341" t="s">
        <v>271</v>
      </c>
      <c r="F249" s="342" t="s">
        <v>272</v>
      </c>
      <c r="G249" s="153" t="s">
        <v>231</v>
      </c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</row>
    <row r="250" spans="1:22">
      <c r="A250" s="174" t="s">
        <v>206</v>
      </c>
      <c r="B250" s="88">
        <v>10</v>
      </c>
      <c r="C250" s="89">
        <v>19</v>
      </c>
      <c r="D250" s="89">
        <v>14</v>
      </c>
      <c r="E250" s="89">
        <v>7</v>
      </c>
      <c r="F250" s="90">
        <v>12</v>
      </c>
      <c r="G250" s="103">
        <f>(MAX(B250:F250)+MIN(B250:F250))/2</f>
        <v>13</v>
      </c>
    </row>
    <row r="251" spans="1:22">
      <c r="A251" s="174" t="s">
        <v>207</v>
      </c>
      <c r="B251" s="92">
        <v>11</v>
      </c>
      <c r="C251" s="93">
        <v>7</v>
      </c>
      <c r="D251" s="93">
        <v>10</v>
      </c>
      <c r="E251" s="93">
        <v>0</v>
      </c>
      <c r="F251" s="94">
        <v>1</v>
      </c>
      <c r="G251" s="103">
        <f>(MAX(B251:F251)+MIN(B251:F251))/2</f>
        <v>5.5</v>
      </c>
    </row>
    <row r="252" spans="1:22">
      <c r="A252" s="174" t="s">
        <v>208</v>
      </c>
      <c r="B252" s="92">
        <v>0</v>
      </c>
      <c r="C252" s="93">
        <v>0</v>
      </c>
      <c r="D252" s="93">
        <v>1</v>
      </c>
      <c r="E252" s="93">
        <v>12</v>
      </c>
      <c r="F252" s="94">
        <v>1</v>
      </c>
      <c r="G252" s="103">
        <f>(MAX(B252:F252)+MIN(B252:F252))/2</f>
        <v>6</v>
      </c>
    </row>
    <row r="253" spans="1:22">
      <c r="A253" s="175" t="s">
        <v>209</v>
      </c>
      <c r="B253" s="95">
        <v>0</v>
      </c>
      <c r="C253" s="96">
        <v>1</v>
      </c>
      <c r="D253" s="96">
        <v>2</v>
      </c>
      <c r="E253" s="96">
        <v>3</v>
      </c>
      <c r="F253" s="97">
        <v>3</v>
      </c>
      <c r="G253" s="103">
        <f>(MAX(B253:F253)+MIN(B253:F253))/2</f>
        <v>1.5</v>
      </c>
    </row>
    <row r="254" spans="1:22">
      <c r="A254" s="140" t="s">
        <v>387</v>
      </c>
      <c r="B254" s="103">
        <f>(MAX(B250:B253)+MIN(B250:B253))/2</f>
        <v>5.5</v>
      </c>
      <c r="C254" s="103">
        <f>(MAX(C250:C253)+MIN(C250:C253))/2</f>
        <v>9.5</v>
      </c>
      <c r="D254" s="103">
        <f>(MAX(D250:D253)+MIN(D250:D253))/2</f>
        <v>7.5</v>
      </c>
      <c r="E254" s="103">
        <f>(MAX(E250:E253)+MIN(E250:E253))/2</f>
        <v>6</v>
      </c>
      <c r="F254" s="103">
        <f>(MAX(F250:F253)+MIN(F250:F253))/2</f>
        <v>6.5</v>
      </c>
      <c r="G254" s="154">
        <f>(MAX(B250:F253)+MIN(B250:F253))/2</f>
        <v>9.5</v>
      </c>
    </row>
    <row r="255" spans="1:22">
      <c r="A255" s="140"/>
      <c r="B255" s="103"/>
      <c r="C255" s="103"/>
      <c r="D255" s="103"/>
      <c r="E255" s="103"/>
      <c r="F255" s="103"/>
      <c r="G255" s="103"/>
    </row>
    <row r="256" spans="1:22" s="34" customFormat="1">
      <c r="A256" s="156" t="s">
        <v>393</v>
      </c>
      <c r="B256" s="153" t="s">
        <v>268</v>
      </c>
      <c r="C256" s="153" t="s">
        <v>269</v>
      </c>
      <c r="D256" s="153" t="s">
        <v>270</v>
      </c>
      <c r="E256" s="153" t="s">
        <v>271</v>
      </c>
      <c r="F256" s="153" t="s">
        <v>272</v>
      </c>
      <c r="G256" s="153"/>
      <c r="H256" s="141"/>
      <c r="I256" s="41" t="s">
        <v>499</v>
      </c>
      <c r="J256" s="172" t="s">
        <v>268</v>
      </c>
      <c r="K256" s="172" t="s">
        <v>269</v>
      </c>
      <c r="L256" s="172" t="s">
        <v>270</v>
      </c>
      <c r="M256" s="172" t="s">
        <v>271</v>
      </c>
      <c r="N256" s="173" t="s">
        <v>272</v>
      </c>
      <c r="O256" s="141"/>
      <c r="P256" s="41" t="s">
        <v>500</v>
      </c>
      <c r="Q256" s="172" t="s">
        <v>268</v>
      </c>
      <c r="R256" s="172" t="s">
        <v>269</v>
      </c>
      <c r="S256" s="172" t="s">
        <v>270</v>
      </c>
      <c r="T256" s="172" t="s">
        <v>271</v>
      </c>
      <c r="U256" s="173" t="s">
        <v>272</v>
      </c>
      <c r="V256" s="141"/>
    </row>
    <row r="257" spans="1:22">
      <c r="A257" s="156" t="s">
        <v>206</v>
      </c>
      <c r="B257" s="103">
        <f t="shared" ref="B257:F260" si="46">B216/$G250</f>
        <v>0.76923076923076927</v>
      </c>
      <c r="C257" s="103">
        <f t="shared" si="46"/>
        <v>1.4615384615384615</v>
      </c>
      <c r="D257" s="103">
        <f t="shared" si="46"/>
        <v>1.0769230769230769</v>
      </c>
      <c r="E257" s="103">
        <f t="shared" si="46"/>
        <v>0.53846153846153844</v>
      </c>
      <c r="F257" s="103">
        <f t="shared" si="46"/>
        <v>0.92307692307692313</v>
      </c>
      <c r="G257" s="103"/>
      <c r="I257" s="174" t="s">
        <v>206</v>
      </c>
      <c r="J257" s="119">
        <v>0.76923076923076927</v>
      </c>
      <c r="K257" s="120">
        <v>1.4615384615384615</v>
      </c>
      <c r="L257" s="120">
        <v>1.0769230769230769</v>
      </c>
      <c r="M257" s="120">
        <v>0.53846153846153844</v>
      </c>
      <c r="N257" s="121">
        <v>0.92307692307692313</v>
      </c>
      <c r="P257" s="174" t="s">
        <v>206</v>
      </c>
      <c r="Q257" s="119">
        <v>1.8181818181818181</v>
      </c>
      <c r="R257" s="120">
        <v>2</v>
      </c>
      <c r="S257" s="120">
        <v>1.8666666666666667</v>
      </c>
      <c r="T257" s="120">
        <v>1.1666666666666667</v>
      </c>
      <c r="U257" s="121">
        <v>1.8461538461538463</v>
      </c>
    </row>
    <row r="258" spans="1:22">
      <c r="A258" s="156" t="s">
        <v>207</v>
      </c>
      <c r="B258" s="103">
        <f t="shared" si="46"/>
        <v>2</v>
      </c>
      <c r="C258" s="103">
        <f t="shared" si="46"/>
        <v>1.2727272727272727</v>
      </c>
      <c r="D258" s="103">
        <f t="shared" si="46"/>
        <v>1.8181818181818181</v>
      </c>
      <c r="E258" s="103">
        <f t="shared" si="46"/>
        <v>0</v>
      </c>
      <c r="F258" s="103">
        <f t="shared" si="46"/>
        <v>0.18181818181818182</v>
      </c>
      <c r="G258" s="103"/>
      <c r="I258" s="174" t="s">
        <v>207</v>
      </c>
      <c r="J258" s="124">
        <v>2</v>
      </c>
      <c r="K258" s="125">
        <v>1.2727272727272727</v>
      </c>
      <c r="L258" s="125">
        <v>1.8181818181818181</v>
      </c>
      <c r="M258" s="125">
        <v>0</v>
      </c>
      <c r="N258" s="126">
        <v>0.18181818181818182</v>
      </c>
      <c r="P258" s="174" t="s">
        <v>207</v>
      </c>
      <c r="Q258" s="124">
        <v>2</v>
      </c>
      <c r="R258" s="125">
        <v>0.73684210526315785</v>
      </c>
      <c r="S258" s="125">
        <v>1.3333333333333333</v>
      </c>
      <c r="T258" s="125">
        <v>0</v>
      </c>
      <c r="U258" s="126">
        <v>0.15384615384615385</v>
      </c>
    </row>
    <row r="259" spans="1:22">
      <c r="A259" s="156" t="s">
        <v>208</v>
      </c>
      <c r="B259" s="103">
        <f t="shared" si="46"/>
        <v>0</v>
      </c>
      <c r="C259" s="103">
        <f t="shared" si="46"/>
        <v>0</v>
      </c>
      <c r="D259" s="103">
        <f t="shared" si="46"/>
        <v>0.16666666666666666</v>
      </c>
      <c r="E259" s="103">
        <f t="shared" si="46"/>
        <v>2</v>
      </c>
      <c r="F259" s="103">
        <f t="shared" si="46"/>
        <v>0.16666666666666666</v>
      </c>
      <c r="G259" s="103"/>
      <c r="I259" s="174" t="s">
        <v>208</v>
      </c>
      <c r="J259" s="124">
        <v>0</v>
      </c>
      <c r="K259" s="125">
        <v>0</v>
      </c>
      <c r="L259" s="125">
        <v>0.16666666666666666</v>
      </c>
      <c r="M259" s="125">
        <v>2</v>
      </c>
      <c r="N259" s="126">
        <v>0.16666666666666666</v>
      </c>
      <c r="P259" s="174" t="s">
        <v>208</v>
      </c>
      <c r="Q259" s="124">
        <v>0</v>
      </c>
      <c r="R259" s="125">
        <v>0</v>
      </c>
      <c r="S259" s="125">
        <v>0.13333333333333333</v>
      </c>
      <c r="T259" s="125">
        <v>2</v>
      </c>
      <c r="U259" s="126">
        <v>0.15384615384615385</v>
      </c>
    </row>
    <row r="260" spans="1:22">
      <c r="A260" s="156" t="s">
        <v>209</v>
      </c>
      <c r="B260" s="103">
        <f t="shared" si="46"/>
        <v>0</v>
      </c>
      <c r="C260" s="103">
        <f t="shared" si="46"/>
        <v>0.66666666666666663</v>
      </c>
      <c r="D260" s="103">
        <f t="shared" si="46"/>
        <v>1.3333333333333333</v>
      </c>
      <c r="E260" s="103">
        <f t="shared" si="46"/>
        <v>2</v>
      </c>
      <c r="F260" s="103">
        <f t="shared" si="46"/>
        <v>2</v>
      </c>
      <c r="G260" s="103"/>
      <c r="I260" s="175" t="s">
        <v>209</v>
      </c>
      <c r="J260" s="132">
        <v>0</v>
      </c>
      <c r="K260" s="133">
        <v>0.66666666666666663</v>
      </c>
      <c r="L260" s="133">
        <v>1.3333333333333333</v>
      </c>
      <c r="M260" s="133">
        <v>2</v>
      </c>
      <c r="N260" s="134">
        <v>2</v>
      </c>
      <c r="P260" s="175" t="s">
        <v>209</v>
      </c>
      <c r="Q260" s="132">
        <v>0</v>
      </c>
      <c r="R260" s="133">
        <v>0.10526315789473684</v>
      </c>
      <c r="S260" s="133">
        <v>0.26666666666666666</v>
      </c>
      <c r="T260" s="133">
        <v>0.5</v>
      </c>
      <c r="U260" s="134">
        <v>0.46153846153846156</v>
      </c>
    </row>
    <row r="261" spans="1:22">
      <c r="A261" s="156"/>
      <c r="B261" s="103"/>
      <c r="C261" s="103"/>
      <c r="D261" s="103"/>
      <c r="E261" s="103"/>
      <c r="F261" s="103"/>
      <c r="G261" s="103"/>
    </row>
    <row r="262" spans="1:22" s="34" customFormat="1">
      <c r="A262" s="156" t="s">
        <v>394</v>
      </c>
      <c r="B262" s="153" t="s">
        <v>268</v>
      </c>
      <c r="C262" s="153" t="s">
        <v>269</v>
      </c>
      <c r="D262" s="153" t="s">
        <v>270</v>
      </c>
      <c r="E262" s="153" t="s">
        <v>271</v>
      </c>
      <c r="F262" s="153" t="s">
        <v>272</v>
      </c>
      <c r="G262" s="153"/>
      <c r="H262" s="141"/>
      <c r="I262" s="41" t="s">
        <v>501</v>
      </c>
      <c r="J262" s="172" t="s">
        <v>268</v>
      </c>
      <c r="K262" s="172" t="s">
        <v>269</v>
      </c>
      <c r="L262" s="172" t="s">
        <v>270</v>
      </c>
      <c r="M262" s="172" t="s">
        <v>271</v>
      </c>
      <c r="N262" s="173" t="s">
        <v>272</v>
      </c>
      <c r="O262" s="141"/>
      <c r="P262" s="41" t="s">
        <v>502</v>
      </c>
      <c r="Q262" s="172" t="s">
        <v>268</v>
      </c>
      <c r="R262" s="172" t="s">
        <v>269</v>
      </c>
      <c r="S262" s="172" t="s">
        <v>270</v>
      </c>
      <c r="T262" s="172" t="s">
        <v>271</v>
      </c>
      <c r="U262" s="173" t="s">
        <v>272</v>
      </c>
      <c r="V262" s="141"/>
    </row>
    <row r="263" spans="1:22">
      <c r="A263" s="156" t="s">
        <v>206</v>
      </c>
      <c r="B263" s="103">
        <f t="shared" ref="B263:F266" si="47">B216/B$254</f>
        <v>1.8181818181818181</v>
      </c>
      <c r="C263" s="103">
        <f t="shared" si="47"/>
        <v>2</v>
      </c>
      <c r="D263" s="103">
        <f t="shared" si="47"/>
        <v>1.8666666666666667</v>
      </c>
      <c r="E263" s="103">
        <f t="shared" si="47"/>
        <v>1.1666666666666667</v>
      </c>
      <c r="F263" s="103">
        <f t="shared" si="47"/>
        <v>1.8461538461538463</v>
      </c>
      <c r="G263" s="103"/>
      <c r="I263" s="174" t="s">
        <v>206</v>
      </c>
      <c r="J263" s="119">
        <v>1.0810810810810811</v>
      </c>
      <c r="K263" s="120">
        <v>1.6888888888888889</v>
      </c>
      <c r="L263" s="120">
        <v>1.3658536585365855</v>
      </c>
      <c r="M263" s="120">
        <v>0.73684210526315785</v>
      </c>
      <c r="N263" s="121">
        <v>1.2307692307692308</v>
      </c>
      <c r="P263" s="174" t="s">
        <v>206</v>
      </c>
      <c r="Q263" s="119">
        <v>1.0526315789473684</v>
      </c>
      <c r="R263" s="120">
        <v>2</v>
      </c>
      <c r="S263" s="120">
        <v>1.4736842105263157</v>
      </c>
      <c r="T263" s="120">
        <v>0.73684210526315785</v>
      </c>
      <c r="U263" s="121">
        <v>1.263157894736842</v>
      </c>
    </row>
    <row r="264" spans="1:22">
      <c r="A264" s="156" t="s">
        <v>207</v>
      </c>
      <c r="B264" s="103">
        <f t="shared" si="47"/>
        <v>2</v>
      </c>
      <c r="C264" s="103">
        <f t="shared" si="47"/>
        <v>0.73684210526315785</v>
      </c>
      <c r="D264" s="103">
        <f t="shared" si="47"/>
        <v>1.3333333333333333</v>
      </c>
      <c r="E264" s="103">
        <f t="shared" si="47"/>
        <v>0</v>
      </c>
      <c r="F264" s="103">
        <f t="shared" si="47"/>
        <v>0.15384615384615385</v>
      </c>
      <c r="G264" s="103"/>
      <c r="I264" s="174" t="s">
        <v>207</v>
      </c>
      <c r="J264" s="124">
        <v>2</v>
      </c>
      <c r="K264" s="125">
        <v>0.93333333333333335</v>
      </c>
      <c r="L264" s="125">
        <v>1.5384615384615385</v>
      </c>
      <c r="M264" s="125">
        <v>0</v>
      </c>
      <c r="N264" s="126">
        <v>0.16666666666666666</v>
      </c>
      <c r="P264" s="174" t="s">
        <v>207</v>
      </c>
      <c r="Q264" s="124">
        <v>1.1578947368421053</v>
      </c>
      <c r="R264" s="125">
        <v>0.73684210526315785</v>
      </c>
      <c r="S264" s="125">
        <v>1.0526315789473684</v>
      </c>
      <c r="T264" s="125">
        <v>0</v>
      </c>
      <c r="U264" s="126">
        <v>0.10526315789473684</v>
      </c>
    </row>
    <row r="265" spans="1:22">
      <c r="A265" s="156" t="s">
        <v>208</v>
      </c>
      <c r="B265" s="103">
        <f t="shared" si="47"/>
        <v>0</v>
      </c>
      <c r="C265" s="103">
        <f t="shared" si="47"/>
        <v>0</v>
      </c>
      <c r="D265" s="103">
        <f t="shared" si="47"/>
        <v>0.13333333333333333</v>
      </c>
      <c r="E265" s="103">
        <f t="shared" si="47"/>
        <v>2</v>
      </c>
      <c r="F265" s="103">
        <f t="shared" si="47"/>
        <v>0.15384615384615385</v>
      </c>
      <c r="G265" s="103"/>
      <c r="I265" s="174" t="s">
        <v>208</v>
      </c>
      <c r="J265" s="124">
        <v>0</v>
      </c>
      <c r="K265" s="125">
        <v>0</v>
      </c>
      <c r="L265" s="125">
        <v>0.14814814814814814</v>
      </c>
      <c r="M265" s="125">
        <v>2</v>
      </c>
      <c r="N265" s="126">
        <v>0.16</v>
      </c>
      <c r="P265" s="174" t="s">
        <v>208</v>
      </c>
      <c r="Q265" s="124">
        <v>0</v>
      </c>
      <c r="R265" s="125">
        <v>0</v>
      </c>
      <c r="S265" s="125">
        <v>0.10526315789473684</v>
      </c>
      <c r="T265" s="125">
        <v>1.263157894736842</v>
      </c>
      <c r="U265" s="126">
        <v>0.10526315789473684</v>
      </c>
    </row>
    <row r="266" spans="1:22">
      <c r="A266" s="156" t="s">
        <v>209</v>
      </c>
      <c r="B266" s="103">
        <f t="shared" si="47"/>
        <v>0</v>
      </c>
      <c r="C266" s="103">
        <f t="shared" si="47"/>
        <v>0.10526315789473684</v>
      </c>
      <c r="D266" s="103">
        <f t="shared" si="47"/>
        <v>0.26666666666666666</v>
      </c>
      <c r="E266" s="103">
        <f t="shared" si="47"/>
        <v>0.5</v>
      </c>
      <c r="F266" s="103">
        <f t="shared" si="47"/>
        <v>0.46153846153846156</v>
      </c>
      <c r="G266" s="103"/>
      <c r="I266" s="175" t="s">
        <v>209</v>
      </c>
      <c r="J266" s="132">
        <v>0</v>
      </c>
      <c r="K266" s="133">
        <v>0.18181818181818182</v>
      </c>
      <c r="L266" s="133">
        <v>0.44444444444444442</v>
      </c>
      <c r="M266" s="133">
        <v>0.8</v>
      </c>
      <c r="N266" s="134">
        <v>0.75</v>
      </c>
      <c r="P266" s="175" t="s">
        <v>209</v>
      </c>
      <c r="Q266" s="132">
        <v>0</v>
      </c>
      <c r="R266" s="133">
        <v>0.10526315789473684</v>
      </c>
      <c r="S266" s="133">
        <v>0.21052631578947367</v>
      </c>
      <c r="T266" s="133">
        <v>0.31578947368421051</v>
      </c>
      <c r="U266" s="134">
        <v>0.31578947368421051</v>
      </c>
    </row>
    <row r="267" spans="1:22">
      <c r="A267" s="156"/>
      <c r="B267" s="103"/>
      <c r="C267" s="103"/>
      <c r="D267" s="103"/>
      <c r="E267" s="103"/>
      <c r="F267" s="103"/>
      <c r="G267" s="103"/>
    </row>
    <row r="268" spans="1:22" s="34" customFormat="1">
      <c r="A268" s="156" t="s">
        <v>395</v>
      </c>
      <c r="B268" s="153" t="s">
        <v>268</v>
      </c>
      <c r="C268" s="153" t="s">
        <v>269</v>
      </c>
      <c r="D268" s="153" t="s">
        <v>270</v>
      </c>
      <c r="E268" s="153" t="s">
        <v>271</v>
      </c>
      <c r="F268" s="153" t="s">
        <v>272</v>
      </c>
      <c r="G268" s="153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</row>
    <row r="269" spans="1:22">
      <c r="A269" s="156" t="s">
        <v>206</v>
      </c>
      <c r="B269" s="103">
        <f t="shared" ref="B269:F272" si="48">(2*B250)/($G250+B$254)</f>
        <v>1.0810810810810811</v>
      </c>
      <c r="C269" s="103">
        <f t="shared" si="48"/>
        <v>1.6888888888888889</v>
      </c>
      <c r="D269" s="103">
        <f t="shared" si="48"/>
        <v>1.3658536585365855</v>
      </c>
      <c r="E269" s="103">
        <f t="shared" si="48"/>
        <v>0.73684210526315785</v>
      </c>
      <c r="F269" s="103">
        <f t="shared" si="48"/>
        <v>1.2307692307692308</v>
      </c>
      <c r="G269" s="103"/>
    </row>
    <row r="270" spans="1:22">
      <c r="A270" s="156" t="s">
        <v>207</v>
      </c>
      <c r="B270" s="103">
        <f t="shared" si="48"/>
        <v>2</v>
      </c>
      <c r="C270" s="103">
        <f t="shared" si="48"/>
        <v>0.93333333333333335</v>
      </c>
      <c r="D270" s="103">
        <f t="shared" si="48"/>
        <v>1.5384615384615385</v>
      </c>
      <c r="E270" s="103">
        <f t="shared" si="48"/>
        <v>0</v>
      </c>
      <c r="F270" s="103">
        <f t="shared" si="48"/>
        <v>0.16666666666666666</v>
      </c>
      <c r="G270" s="103"/>
    </row>
    <row r="271" spans="1:22">
      <c r="A271" s="156" t="s">
        <v>208</v>
      </c>
      <c r="B271" s="103">
        <f t="shared" si="48"/>
        <v>0</v>
      </c>
      <c r="C271" s="103">
        <f t="shared" si="48"/>
        <v>0</v>
      </c>
      <c r="D271" s="103">
        <f t="shared" si="48"/>
        <v>0.14814814814814814</v>
      </c>
      <c r="E271" s="103">
        <f t="shared" si="48"/>
        <v>2</v>
      </c>
      <c r="F271" s="103">
        <f t="shared" si="48"/>
        <v>0.16</v>
      </c>
      <c r="G271" s="103"/>
    </row>
    <row r="272" spans="1:22">
      <c r="A272" s="156" t="s">
        <v>209</v>
      </c>
      <c r="B272" s="103">
        <f t="shared" si="48"/>
        <v>0</v>
      </c>
      <c r="C272" s="103">
        <f t="shared" si="48"/>
        <v>0.18181818181818182</v>
      </c>
      <c r="D272" s="103">
        <f t="shared" si="48"/>
        <v>0.44444444444444442</v>
      </c>
      <c r="E272" s="103">
        <f t="shared" si="48"/>
        <v>0.8</v>
      </c>
      <c r="F272" s="103">
        <f t="shared" si="48"/>
        <v>0.75</v>
      </c>
      <c r="G272" s="103"/>
    </row>
    <row r="273" spans="1:22">
      <c r="A273" s="156"/>
      <c r="B273" s="103"/>
      <c r="C273" s="103"/>
      <c r="D273" s="103"/>
      <c r="E273" s="103"/>
      <c r="F273" s="103"/>
      <c r="G273" s="103"/>
    </row>
    <row r="274" spans="1:22" s="34" customFormat="1">
      <c r="A274" s="156" t="s">
        <v>396</v>
      </c>
      <c r="B274" s="153" t="s">
        <v>268</v>
      </c>
      <c r="C274" s="153" t="s">
        <v>269</v>
      </c>
      <c r="D274" s="153" t="s">
        <v>270</v>
      </c>
      <c r="E274" s="153" t="s">
        <v>271</v>
      </c>
      <c r="F274" s="153" t="s">
        <v>272</v>
      </c>
      <c r="G274" s="153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</row>
    <row r="275" spans="1:22">
      <c r="A275" s="156" t="s">
        <v>206</v>
      </c>
      <c r="B275" s="103">
        <f t="shared" ref="B275:F278" si="49">B216/$G$254</f>
        <v>1.0526315789473684</v>
      </c>
      <c r="C275" s="103">
        <f t="shared" si="49"/>
        <v>2</v>
      </c>
      <c r="D275" s="103">
        <f t="shared" si="49"/>
        <v>1.4736842105263157</v>
      </c>
      <c r="E275" s="103">
        <f t="shared" si="49"/>
        <v>0.73684210526315785</v>
      </c>
      <c r="F275" s="103">
        <f t="shared" si="49"/>
        <v>1.263157894736842</v>
      </c>
      <c r="G275" s="103"/>
    </row>
    <row r="276" spans="1:22">
      <c r="A276" s="156" t="s">
        <v>207</v>
      </c>
      <c r="B276" s="103">
        <f t="shared" si="49"/>
        <v>1.1578947368421053</v>
      </c>
      <c r="C276" s="103">
        <f t="shared" si="49"/>
        <v>0.73684210526315785</v>
      </c>
      <c r="D276" s="103">
        <f t="shared" si="49"/>
        <v>1.0526315789473684</v>
      </c>
      <c r="E276" s="103">
        <f t="shared" si="49"/>
        <v>0</v>
      </c>
      <c r="F276" s="103">
        <f t="shared" si="49"/>
        <v>0.10526315789473684</v>
      </c>
      <c r="G276" s="103"/>
    </row>
    <row r="277" spans="1:22">
      <c r="A277" s="156" t="s">
        <v>208</v>
      </c>
      <c r="B277" s="103">
        <f t="shared" si="49"/>
        <v>0</v>
      </c>
      <c r="C277" s="103">
        <f t="shared" si="49"/>
        <v>0</v>
      </c>
      <c r="D277" s="103">
        <f t="shared" si="49"/>
        <v>0.10526315789473684</v>
      </c>
      <c r="E277" s="103">
        <f t="shared" si="49"/>
        <v>1.263157894736842</v>
      </c>
      <c r="F277" s="103">
        <f t="shared" si="49"/>
        <v>0.10526315789473684</v>
      </c>
      <c r="G277" s="103"/>
    </row>
    <row r="278" spans="1:22">
      <c r="A278" s="156" t="s">
        <v>209</v>
      </c>
      <c r="B278" s="103">
        <f t="shared" si="49"/>
        <v>0</v>
      </c>
      <c r="C278" s="103">
        <f t="shared" si="49"/>
        <v>0.10526315789473684</v>
      </c>
      <c r="D278" s="103">
        <f t="shared" si="49"/>
        <v>0.21052631578947367</v>
      </c>
      <c r="E278" s="103">
        <f t="shared" si="49"/>
        <v>0.31578947368421051</v>
      </c>
      <c r="F278" s="103">
        <f t="shared" si="49"/>
        <v>0.31578947368421051</v>
      </c>
      <c r="G278" s="103"/>
    </row>
    <row r="279" spans="1:22">
      <c r="A279" s="156"/>
      <c r="B279" s="103"/>
      <c r="C279" s="103"/>
      <c r="D279" s="103"/>
      <c r="E279" s="103"/>
      <c r="F279" s="103"/>
      <c r="G279" s="103"/>
    </row>
    <row r="281" spans="1:22">
      <c r="A281" s="151" t="s">
        <v>397</v>
      </c>
      <c r="B281" s="103"/>
      <c r="C281" s="103"/>
      <c r="D281" s="103"/>
      <c r="E281" s="103"/>
      <c r="F281" s="103"/>
      <c r="G281" s="103"/>
    </row>
    <row r="282" spans="1:22">
      <c r="A282" s="156"/>
      <c r="B282" s="103"/>
      <c r="C282" s="103"/>
      <c r="D282" s="103"/>
      <c r="E282" s="103"/>
      <c r="F282" s="103"/>
      <c r="G282" s="103"/>
    </row>
    <row r="283" spans="1:22" s="34" customFormat="1">
      <c r="A283" s="331" t="s">
        <v>369</v>
      </c>
      <c r="B283" s="341" t="s">
        <v>268</v>
      </c>
      <c r="C283" s="341" t="s">
        <v>269</v>
      </c>
      <c r="D283" s="341" t="s">
        <v>270</v>
      </c>
      <c r="E283" s="341" t="s">
        <v>271</v>
      </c>
      <c r="F283" s="342" t="s">
        <v>272</v>
      </c>
      <c r="G283" s="153" t="s">
        <v>231</v>
      </c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</row>
    <row r="284" spans="1:22">
      <c r="A284" s="174" t="s">
        <v>206</v>
      </c>
      <c r="B284" s="88">
        <v>10</v>
      </c>
      <c r="C284" s="89">
        <v>19</v>
      </c>
      <c r="D284" s="89">
        <v>14</v>
      </c>
      <c r="E284" s="89">
        <v>7</v>
      </c>
      <c r="F284" s="90">
        <v>12</v>
      </c>
      <c r="G284" s="103">
        <f>(MAX(B284:F284)+MIN(B284:F284))/2</f>
        <v>13</v>
      </c>
    </row>
    <row r="285" spans="1:22">
      <c r="A285" s="174" t="s">
        <v>207</v>
      </c>
      <c r="B285" s="92">
        <v>11</v>
      </c>
      <c r="C285" s="93">
        <v>7</v>
      </c>
      <c r="D285" s="93">
        <v>10</v>
      </c>
      <c r="E285" s="93">
        <v>0</v>
      </c>
      <c r="F285" s="94">
        <v>1</v>
      </c>
      <c r="G285" s="103">
        <f>(MAX(B285:F285)+MIN(B285:F285))/2</f>
        <v>5.5</v>
      </c>
    </row>
    <row r="286" spans="1:22">
      <c r="A286" s="174" t="s">
        <v>208</v>
      </c>
      <c r="B286" s="92">
        <v>0</v>
      </c>
      <c r="C286" s="93">
        <v>0</v>
      </c>
      <c r="D286" s="93">
        <v>1</v>
      </c>
      <c r="E286" s="93">
        <v>12</v>
      </c>
      <c r="F286" s="94">
        <v>1</v>
      </c>
      <c r="G286" s="103">
        <f>(MAX(B286:F286)+MIN(B286:F286))/2</f>
        <v>6</v>
      </c>
    </row>
    <row r="287" spans="1:22">
      <c r="A287" s="175" t="s">
        <v>209</v>
      </c>
      <c r="B287" s="95">
        <v>0</v>
      </c>
      <c r="C287" s="96">
        <v>1</v>
      </c>
      <c r="D287" s="96">
        <v>2</v>
      </c>
      <c r="E287" s="96">
        <v>3</v>
      </c>
      <c r="F287" s="97">
        <v>3</v>
      </c>
      <c r="G287" s="103">
        <f>(MAX(B287:F287)+MIN(B287:F287))/2</f>
        <v>1.5</v>
      </c>
    </row>
    <row r="288" spans="1:22">
      <c r="A288" s="140" t="s">
        <v>387</v>
      </c>
      <c r="B288" s="103">
        <f>(MAX(B284:B287)+MIN(B284:B287))/2</f>
        <v>5.5</v>
      </c>
      <c r="C288" s="103">
        <f>(MAX(C284:C287)+MIN(C284:C287))/2</f>
        <v>9.5</v>
      </c>
      <c r="D288" s="103">
        <f>(MAX(D284:D287)+MIN(D284:D287))/2</f>
        <v>7.5</v>
      </c>
      <c r="E288" s="103">
        <f>(MAX(E284:E287)+MIN(E284:E287))/2</f>
        <v>6</v>
      </c>
      <c r="F288" s="103">
        <f>(MAX(F284:F287)+MIN(F284:F287))/2</f>
        <v>6.5</v>
      </c>
      <c r="G288" s="154">
        <f>(MAX(B284:F287)+MIN(B284:F287))/2</f>
        <v>9.5</v>
      </c>
    </row>
    <row r="289" spans="1:22">
      <c r="A289" s="140"/>
      <c r="B289" s="103"/>
      <c r="C289" s="103"/>
      <c r="D289" s="103"/>
      <c r="E289" s="103"/>
      <c r="F289" s="103"/>
      <c r="G289" s="103"/>
    </row>
    <row r="290" spans="1:22" s="34" customFormat="1">
      <c r="A290" s="156" t="s">
        <v>398</v>
      </c>
      <c r="B290" s="153" t="s">
        <v>268</v>
      </c>
      <c r="C290" s="153" t="s">
        <v>269</v>
      </c>
      <c r="D290" s="153" t="s">
        <v>270</v>
      </c>
      <c r="E290" s="153" t="s">
        <v>271</v>
      </c>
      <c r="F290" s="153" t="s">
        <v>272</v>
      </c>
      <c r="G290" s="153"/>
      <c r="H290" s="141"/>
      <c r="I290" s="41" t="s">
        <v>503</v>
      </c>
      <c r="J290" s="172" t="s">
        <v>268</v>
      </c>
      <c r="K290" s="172" t="s">
        <v>269</v>
      </c>
      <c r="L290" s="172" t="s">
        <v>270</v>
      </c>
      <c r="M290" s="172" t="s">
        <v>271</v>
      </c>
      <c r="N290" s="173" t="s">
        <v>272</v>
      </c>
      <c r="O290" s="141"/>
      <c r="P290" s="41" t="s">
        <v>504</v>
      </c>
      <c r="Q290" s="172" t="s">
        <v>268</v>
      </c>
      <c r="R290" s="172" t="s">
        <v>269</v>
      </c>
      <c r="S290" s="172" t="s">
        <v>270</v>
      </c>
      <c r="T290" s="172" t="s">
        <v>271</v>
      </c>
      <c r="U290" s="173" t="s">
        <v>272</v>
      </c>
      <c r="V290" s="141"/>
    </row>
    <row r="291" spans="1:22">
      <c r="A291" s="156" t="s">
        <v>206</v>
      </c>
      <c r="B291" s="103">
        <f>(B284-$G284)/$G284</f>
        <v>-0.23076923076923078</v>
      </c>
      <c r="C291" s="103">
        <f t="shared" ref="C291:F291" si="50">(C284-$G284)/$G284</f>
        <v>0.46153846153846156</v>
      </c>
      <c r="D291" s="103">
        <f t="shared" si="50"/>
        <v>7.6923076923076927E-2</v>
      </c>
      <c r="E291" s="103">
        <f t="shared" si="50"/>
        <v>-0.46153846153846156</v>
      </c>
      <c r="F291" s="103">
        <f t="shared" si="50"/>
        <v>-7.6923076923076927E-2</v>
      </c>
      <c r="G291" s="103"/>
      <c r="I291" s="174" t="s">
        <v>206</v>
      </c>
      <c r="J291" s="119">
        <v>-0.23076923076923078</v>
      </c>
      <c r="K291" s="120">
        <v>0.46153846153846156</v>
      </c>
      <c r="L291" s="120">
        <v>7.6923076923076927E-2</v>
      </c>
      <c r="M291" s="120">
        <v>-0.46153846153846156</v>
      </c>
      <c r="N291" s="121">
        <v>-7.6923076923076927E-2</v>
      </c>
      <c r="P291" s="174" t="s">
        <v>206</v>
      </c>
      <c r="Q291" s="119">
        <v>0.81818181818181823</v>
      </c>
      <c r="R291" s="120">
        <v>1</v>
      </c>
      <c r="S291" s="120">
        <v>0.8666666666666667</v>
      </c>
      <c r="T291" s="120">
        <v>0.16666666666666666</v>
      </c>
      <c r="U291" s="121">
        <v>0.84615384615384615</v>
      </c>
    </row>
    <row r="292" spans="1:22">
      <c r="A292" s="156" t="s">
        <v>207</v>
      </c>
      <c r="B292" s="103">
        <f t="shared" ref="B292:F294" si="51">(B285-$G285)/$G285</f>
        <v>1</v>
      </c>
      <c r="C292" s="103">
        <f t="shared" si="51"/>
        <v>0.27272727272727271</v>
      </c>
      <c r="D292" s="103">
        <f t="shared" si="51"/>
        <v>0.81818181818181823</v>
      </c>
      <c r="E292" s="103">
        <f t="shared" si="51"/>
        <v>-1</v>
      </c>
      <c r="F292" s="103">
        <f t="shared" si="51"/>
        <v>-0.81818181818181823</v>
      </c>
      <c r="G292" s="103"/>
      <c r="I292" s="174" t="s">
        <v>207</v>
      </c>
      <c r="J292" s="124">
        <v>1</v>
      </c>
      <c r="K292" s="125">
        <v>0.27272727272727271</v>
      </c>
      <c r="L292" s="125">
        <v>0.81818181818181823</v>
      </c>
      <c r="M292" s="125">
        <v>-1</v>
      </c>
      <c r="N292" s="126">
        <v>-0.81818181818181823</v>
      </c>
      <c r="P292" s="174" t="s">
        <v>207</v>
      </c>
      <c r="Q292" s="124">
        <v>1</v>
      </c>
      <c r="R292" s="125">
        <v>-0.26315789473684209</v>
      </c>
      <c r="S292" s="125">
        <v>0.33333333333333331</v>
      </c>
      <c r="T292" s="125">
        <v>-1</v>
      </c>
      <c r="U292" s="126">
        <v>-0.84615384615384615</v>
      </c>
    </row>
    <row r="293" spans="1:22">
      <c r="A293" s="156" t="s">
        <v>208</v>
      </c>
      <c r="B293" s="103">
        <f t="shared" si="51"/>
        <v>-1</v>
      </c>
      <c r="C293" s="103">
        <f t="shared" si="51"/>
        <v>-1</v>
      </c>
      <c r="D293" s="103">
        <f t="shared" si="51"/>
        <v>-0.83333333333333337</v>
      </c>
      <c r="E293" s="103">
        <f t="shared" si="51"/>
        <v>1</v>
      </c>
      <c r="F293" s="103">
        <f t="shared" si="51"/>
        <v>-0.83333333333333337</v>
      </c>
      <c r="G293" s="103"/>
      <c r="I293" s="174" t="s">
        <v>208</v>
      </c>
      <c r="J293" s="124">
        <v>-1</v>
      </c>
      <c r="K293" s="125">
        <v>-1</v>
      </c>
      <c r="L293" s="125">
        <v>-0.83333333333333337</v>
      </c>
      <c r="M293" s="125">
        <v>1</v>
      </c>
      <c r="N293" s="126">
        <v>-0.83333333333333337</v>
      </c>
      <c r="P293" s="174" t="s">
        <v>208</v>
      </c>
      <c r="Q293" s="124">
        <v>-1</v>
      </c>
      <c r="R293" s="125">
        <v>-1</v>
      </c>
      <c r="S293" s="125">
        <v>-0.8666666666666667</v>
      </c>
      <c r="T293" s="125">
        <v>1</v>
      </c>
      <c r="U293" s="126">
        <v>-0.84615384615384615</v>
      </c>
    </row>
    <row r="294" spans="1:22">
      <c r="A294" s="156" t="s">
        <v>209</v>
      </c>
      <c r="B294" s="103">
        <f t="shared" si="51"/>
        <v>-1</v>
      </c>
      <c r="C294" s="103">
        <f t="shared" si="51"/>
        <v>-0.33333333333333331</v>
      </c>
      <c r="D294" s="103">
        <f t="shared" si="51"/>
        <v>0.33333333333333331</v>
      </c>
      <c r="E294" s="103">
        <f t="shared" si="51"/>
        <v>1</v>
      </c>
      <c r="F294" s="103">
        <f t="shared" si="51"/>
        <v>1</v>
      </c>
      <c r="G294" s="103"/>
      <c r="I294" s="175" t="s">
        <v>209</v>
      </c>
      <c r="J294" s="132">
        <v>-1</v>
      </c>
      <c r="K294" s="133">
        <v>-0.33333333333333331</v>
      </c>
      <c r="L294" s="133">
        <v>0.33333333333333331</v>
      </c>
      <c r="M294" s="133">
        <v>1</v>
      </c>
      <c r="N294" s="134">
        <v>1</v>
      </c>
      <c r="P294" s="175" t="s">
        <v>209</v>
      </c>
      <c r="Q294" s="132">
        <v>-1</v>
      </c>
      <c r="R294" s="133">
        <v>-0.89473684210526316</v>
      </c>
      <c r="S294" s="133">
        <v>-0.73333333333333328</v>
      </c>
      <c r="T294" s="133">
        <v>-0.5</v>
      </c>
      <c r="U294" s="134">
        <v>-0.53846153846153844</v>
      </c>
    </row>
    <row r="295" spans="1:22">
      <c r="A295" s="156"/>
      <c r="B295" s="103"/>
      <c r="C295" s="103"/>
      <c r="D295" s="103"/>
      <c r="E295" s="103"/>
      <c r="F295" s="103"/>
      <c r="G295" s="103"/>
    </row>
    <row r="296" spans="1:22" s="34" customFormat="1">
      <c r="A296" s="156" t="s">
        <v>399</v>
      </c>
      <c r="B296" s="153" t="s">
        <v>268</v>
      </c>
      <c r="C296" s="153" t="s">
        <v>269</v>
      </c>
      <c r="D296" s="153" t="s">
        <v>270</v>
      </c>
      <c r="E296" s="153" t="s">
        <v>271</v>
      </c>
      <c r="F296" s="153" t="s">
        <v>272</v>
      </c>
      <c r="G296" s="153"/>
      <c r="H296" s="141"/>
      <c r="I296" s="41" t="s">
        <v>505</v>
      </c>
      <c r="J296" s="172" t="s">
        <v>268</v>
      </c>
      <c r="K296" s="172" t="s">
        <v>269</v>
      </c>
      <c r="L296" s="172" t="s">
        <v>270</v>
      </c>
      <c r="M296" s="172" t="s">
        <v>271</v>
      </c>
      <c r="N296" s="173" t="s">
        <v>272</v>
      </c>
      <c r="O296" s="141"/>
      <c r="P296" s="41" t="s">
        <v>506</v>
      </c>
      <c r="Q296" s="172" t="s">
        <v>268</v>
      </c>
      <c r="R296" s="172" t="s">
        <v>269</v>
      </c>
      <c r="S296" s="172" t="s">
        <v>270</v>
      </c>
      <c r="T296" s="172" t="s">
        <v>271</v>
      </c>
      <c r="U296" s="173" t="s">
        <v>272</v>
      </c>
      <c r="V296" s="141"/>
    </row>
    <row r="297" spans="1:22">
      <c r="A297" s="156" t="s">
        <v>206</v>
      </c>
      <c r="B297" s="103">
        <f t="shared" ref="B297:F300" si="52">(B284-B$288)/B$288</f>
        <v>0.81818181818181823</v>
      </c>
      <c r="C297" s="103">
        <f t="shared" si="52"/>
        <v>1</v>
      </c>
      <c r="D297" s="103">
        <f t="shared" si="52"/>
        <v>0.8666666666666667</v>
      </c>
      <c r="E297" s="103">
        <f t="shared" si="52"/>
        <v>0.16666666666666666</v>
      </c>
      <c r="F297" s="103">
        <f t="shared" si="52"/>
        <v>0.84615384615384615</v>
      </c>
      <c r="G297" s="103"/>
      <c r="I297" s="174" t="s">
        <v>206</v>
      </c>
      <c r="J297" s="119">
        <v>8.1081081081081086E-2</v>
      </c>
      <c r="K297" s="120">
        <v>0.68888888888888888</v>
      </c>
      <c r="L297" s="120">
        <v>0.36585365853658536</v>
      </c>
      <c r="M297" s="120">
        <v>-0.26315789473684209</v>
      </c>
      <c r="N297" s="121">
        <v>0.23076923076923078</v>
      </c>
      <c r="P297" s="174" t="s">
        <v>206</v>
      </c>
      <c r="Q297" s="119">
        <v>5.2631578947368418E-2</v>
      </c>
      <c r="R297" s="120">
        <v>1</v>
      </c>
      <c r="S297" s="120">
        <v>0.47368421052631576</v>
      </c>
      <c r="T297" s="120">
        <v>-0.26315789473684209</v>
      </c>
      <c r="U297" s="121">
        <v>0.26315789473684209</v>
      </c>
    </row>
    <row r="298" spans="1:22">
      <c r="A298" s="156" t="s">
        <v>207</v>
      </c>
      <c r="B298" s="103">
        <f t="shared" si="52"/>
        <v>1</v>
      </c>
      <c r="C298" s="103">
        <f t="shared" si="52"/>
        <v>-0.26315789473684209</v>
      </c>
      <c r="D298" s="103">
        <f t="shared" si="52"/>
        <v>0.33333333333333331</v>
      </c>
      <c r="E298" s="103">
        <f t="shared" si="52"/>
        <v>-1</v>
      </c>
      <c r="F298" s="103">
        <f t="shared" si="52"/>
        <v>-0.84615384615384615</v>
      </c>
      <c r="G298" s="103"/>
      <c r="I298" s="174" t="s">
        <v>207</v>
      </c>
      <c r="J298" s="124">
        <v>1</v>
      </c>
      <c r="K298" s="125">
        <v>-6.6666666666666666E-2</v>
      </c>
      <c r="L298" s="125">
        <v>0.53846153846153844</v>
      </c>
      <c r="M298" s="125">
        <v>-1</v>
      </c>
      <c r="N298" s="126">
        <v>-0.83333333333333337</v>
      </c>
      <c r="P298" s="174" t="s">
        <v>207</v>
      </c>
      <c r="Q298" s="124">
        <v>0.15789473684210525</v>
      </c>
      <c r="R298" s="125">
        <v>-0.26315789473684209</v>
      </c>
      <c r="S298" s="125">
        <v>5.2631578947368418E-2</v>
      </c>
      <c r="T298" s="125">
        <v>-1</v>
      </c>
      <c r="U298" s="126">
        <v>-0.89473684210526316</v>
      </c>
    </row>
    <row r="299" spans="1:22">
      <c r="A299" s="156" t="s">
        <v>208</v>
      </c>
      <c r="B299" s="103">
        <f t="shared" si="52"/>
        <v>-1</v>
      </c>
      <c r="C299" s="103">
        <f t="shared" si="52"/>
        <v>-1</v>
      </c>
      <c r="D299" s="103">
        <f t="shared" si="52"/>
        <v>-0.8666666666666667</v>
      </c>
      <c r="E299" s="103">
        <f t="shared" si="52"/>
        <v>1</v>
      </c>
      <c r="F299" s="103">
        <f t="shared" si="52"/>
        <v>-0.84615384615384615</v>
      </c>
      <c r="G299" s="103"/>
      <c r="I299" s="174" t="s">
        <v>208</v>
      </c>
      <c r="J299" s="124">
        <v>-1</v>
      </c>
      <c r="K299" s="125">
        <v>-1</v>
      </c>
      <c r="L299" s="125">
        <v>-0.85185185185185186</v>
      </c>
      <c r="M299" s="125">
        <v>1</v>
      </c>
      <c r="N299" s="126">
        <v>-0.84</v>
      </c>
      <c r="P299" s="174" t="s">
        <v>208</v>
      </c>
      <c r="Q299" s="124">
        <v>-1</v>
      </c>
      <c r="R299" s="125">
        <v>-1</v>
      </c>
      <c r="S299" s="125">
        <v>-0.89473684210526316</v>
      </c>
      <c r="T299" s="125">
        <v>0.26315789473684209</v>
      </c>
      <c r="U299" s="126">
        <v>-0.89473684210526316</v>
      </c>
    </row>
    <row r="300" spans="1:22">
      <c r="A300" s="156" t="s">
        <v>209</v>
      </c>
      <c r="B300" s="103">
        <f t="shared" si="52"/>
        <v>-1</v>
      </c>
      <c r="C300" s="103">
        <f t="shared" si="52"/>
        <v>-0.89473684210526316</v>
      </c>
      <c r="D300" s="103">
        <f t="shared" si="52"/>
        <v>-0.73333333333333328</v>
      </c>
      <c r="E300" s="103">
        <f t="shared" si="52"/>
        <v>-0.5</v>
      </c>
      <c r="F300" s="103">
        <f t="shared" si="52"/>
        <v>-0.53846153846153844</v>
      </c>
      <c r="G300" s="103"/>
      <c r="I300" s="175" t="s">
        <v>209</v>
      </c>
      <c r="J300" s="132">
        <v>-1</v>
      </c>
      <c r="K300" s="133">
        <v>-0.81818181818181823</v>
      </c>
      <c r="L300" s="133">
        <v>-0.55555555555555558</v>
      </c>
      <c r="M300" s="133">
        <v>-0.2</v>
      </c>
      <c r="N300" s="134">
        <v>-0.25</v>
      </c>
      <c r="P300" s="175" t="s">
        <v>209</v>
      </c>
      <c r="Q300" s="132">
        <v>-1</v>
      </c>
      <c r="R300" s="133">
        <v>-0.89473684210526316</v>
      </c>
      <c r="S300" s="133">
        <v>-0.78947368421052633</v>
      </c>
      <c r="T300" s="133">
        <v>-0.68421052631578949</v>
      </c>
      <c r="U300" s="134">
        <v>-0.68421052631578949</v>
      </c>
    </row>
    <row r="301" spans="1:22">
      <c r="A301" s="156"/>
      <c r="B301" s="103"/>
      <c r="C301" s="103"/>
      <c r="D301" s="103"/>
      <c r="E301" s="103"/>
      <c r="F301" s="103"/>
      <c r="G301" s="103"/>
    </row>
    <row r="302" spans="1:22" s="34" customFormat="1">
      <c r="A302" s="156" t="s">
        <v>400</v>
      </c>
      <c r="B302" s="153" t="s">
        <v>268</v>
      </c>
      <c r="C302" s="153" t="s">
        <v>269</v>
      </c>
      <c r="D302" s="153" t="s">
        <v>270</v>
      </c>
      <c r="E302" s="153" t="s">
        <v>271</v>
      </c>
      <c r="F302" s="153" t="s">
        <v>272</v>
      </c>
      <c r="G302" s="153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</row>
    <row r="303" spans="1:22">
      <c r="A303" s="156" t="s">
        <v>206</v>
      </c>
      <c r="B303" s="103">
        <f t="shared" ref="B303:F306" si="53">(2*B284-$G284-B$288)/($G284+B$288)</f>
        <v>8.1081081081081086E-2</v>
      </c>
      <c r="C303" s="103">
        <f t="shared" si="53"/>
        <v>0.68888888888888888</v>
      </c>
      <c r="D303" s="103">
        <f t="shared" si="53"/>
        <v>0.36585365853658536</v>
      </c>
      <c r="E303" s="103">
        <f t="shared" si="53"/>
        <v>-0.26315789473684209</v>
      </c>
      <c r="F303" s="103">
        <f t="shared" si="53"/>
        <v>0.23076923076923078</v>
      </c>
      <c r="G303" s="103"/>
    </row>
    <row r="304" spans="1:22">
      <c r="A304" s="156" t="s">
        <v>276</v>
      </c>
      <c r="B304" s="103">
        <f t="shared" si="53"/>
        <v>1</v>
      </c>
      <c r="C304" s="103">
        <f t="shared" si="53"/>
        <v>-6.6666666666666666E-2</v>
      </c>
      <c r="D304" s="103">
        <f t="shared" si="53"/>
        <v>0.53846153846153844</v>
      </c>
      <c r="E304" s="103">
        <f t="shared" si="53"/>
        <v>-1</v>
      </c>
      <c r="F304" s="103">
        <f t="shared" si="53"/>
        <v>-0.83333333333333337</v>
      </c>
      <c r="G304" s="103"/>
    </row>
    <row r="305" spans="1:22">
      <c r="A305" s="156" t="s">
        <v>208</v>
      </c>
      <c r="B305" s="103">
        <f t="shared" si="53"/>
        <v>-1</v>
      </c>
      <c r="C305" s="103">
        <f t="shared" si="53"/>
        <v>-1</v>
      </c>
      <c r="D305" s="103">
        <f t="shared" si="53"/>
        <v>-0.85185185185185186</v>
      </c>
      <c r="E305" s="103">
        <f t="shared" si="53"/>
        <v>1</v>
      </c>
      <c r="F305" s="103">
        <f t="shared" si="53"/>
        <v>-0.84</v>
      </c>
      <c r="G305" s="103"/>
    </row>
    <row r="306" spans="1:22">
      <c r="A306" s="156" t="s">
        <v>209</v>
      </c>
      <c r="B306" s="103">
        <f t="shared" si="53"/>
        <v>-1</v>
      </c>
      <c r="C306" s="103">
        <f t="shared" si="53"/>
        <v>-0.81818181818181823</v>
      </c>
      <c r="D306" s="103">
        <f t="shared" si="53"/>
        <v>-0.55555555555555558</v>
      </c>
      <c r="E306" s="103">
        <f t="shared" si="53"/>
        <v>-0.2</v>
      </c>
      <c r="F306" s="103">
        <f t="shared" si="53"/>
        <v>-0.25</v>
      </c>
      <c r="G306" s="103"/>
    </row>
    <row r="307" spans="1:22">
      <c r="A307" s="156"/>
      <c r="B307" s="103"/>
      <c r="C307" s="103"/>
      <c r="D307" s="103"/>
      <c r="E307" s="103"/>
      <c r="F307" s="103"/>
      <c r="G307" s="103"/>
    </row>
    <row r="308" spans="1:22" s="34" customFormat="1">
      <c r="A308" s="156" t="s">
        <v>401</v>
      </c>
      <c r="B308" s="153" t="s">
        <v>268</v>
      </c>
      <c r="C308" s="153" t="s">
        <v>269</v>
      </c>
      <c r="D308" s="153" t="s">
        <v>270</v>
      </c>
      <c r="E308" s="153" t="s">
        <v>271</v>
      </c>
      <c r="F308" s="153" t="s">
        <v>272</v>
      </c>
      <c r="G308" s="153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</row>
    <row r="309" spans="1:22">
      <c r="A309" s="156" t="s">
        <v>206</v>
      </c>
      <c r="B309" s="103">
        <f t="shared" ref="B309:F312" si="54">(B284-$G$288)/$G$288</f>
        <v>5.2631578947368418E-2</v>
      </c>
      <c r="C309" s="103">
        <f t="shared" si="54"/>
        <v>1</v>
      </c>
      <c r="D309" s="103">
        <f t="shared" si="54"/>
        <v>0.47368421052631576</v>
      </c>
      <c r="E309" s="103">
        <f t="shared" si="54"/>
        <v>-0.26315789473684209</v>
      </c>
      <c r="F309" s="103">
        <f t="shared" si="54"/>
        <v>0.26315789473684209</v>
      </c>
      <c r="G309" s="103"/>
    </row>
    <row r="310" spans="1:22">
      <c r="A310" s="156" t="s">
        <v>207</v>
      </c>
      <c r="B310" s="103">
        <f t="shared" si="54"/>
        <v>0.15789473684210525</v>
      </c>
      <c r="C310" s="103">
        <f t="shared" si="54"/>
        <v>-0.26315789473684209</v>
      </c>
      <c r="D310" s="103">
        <f t="shared" si="54"/>
        <v>5.2631578947368418E-2</v>
      </c>
      <c r="E310" s="103">
        <f t="shared" si="54"/>
        <v>-1</v>
      </c>
      <c r="F310" s="103">
        <f t="shared" si="54"/>
        <v>-0.89473684210526316</v>
      </c>
      <c r="G310" s="103"/>
    </row>
    <row r="311" spans="1:22">
      <c r="A311" s="156" t="s">
        <v>208</v>
      </c>
      <c r="B311" s="103">
        <f t="shared" si="54"/>
        <v>-1</v>
      </c>
      <c r="C311" s="103">
        <f t="shared" si="54"/>
        <v>-1</v>
      </c>
      <c r="D311" s="103">
        <f t="shared" si="54"/>
        <v>-0.89473684210526316</v>
      </c>
      <c r="E311" s="103">
        <f t="shared" si="54"/>
        <v>0.26315789473684209</v>
      </c>
      <c r="F311" s="103">
        <f t="shared" si="54"/>
        <v>-0.89473684210526316</v>
      </c>
      <c r="G311" s="103"/>
    </row>
    <row r="312" spans="1:22">
      <c r="A312" s="156" t="s">
        <v>209</v>
      </c>
      <c r="B312" s="103">
        <f t="shared" si="54"/>
        <v>-1</v>
      </c>
      <c r="C312" s="103">
        <f t="shared" si="54"/>
        <v>-0.89473684210526316</v>
      </c>
      <c r="D312" s="103">
        <f t="shared" si="54"/>
        <v>-0.78947368421052633</v>
      </c>
      <c r="E312" s="103">
        <f t="shared" si="54"/>
        <v>-0.68421052631578949</v>
      </c>
      <c r="F312" s="103">
        <f t="shared" si="54"/>
        <v>-0.68421052631578949</v>
      </c>
      <c r="G312" s="103"/>
    </row>
    <row r="313" spans="1:22">
      <c r="A313" s="101"/>
      <c r="B313" s="103"/>
      <c r="C313" s="103"/>
      <c r="D313" s="103"/>
      <c r="E313" s="103"/>
      <c r="F313" s="103"/>
      <c r="G313" s="103"/>
    </row>
    <row r="315" spans="1:22">
      <c r="A315" s="151" t="s">
        <v>402</v>
      </c>
      <c r="B315" s="103"/>
      <c r="C315" s="103"/>
      <c r="D315" s="103"/>
      <c r="E315" s="103"/>
      <c r="F315" s="103"/>
      <c r="G315" s="103"/>
    </row>
    <row r="316" spans="1:22">
      <c r="B316" s="103"/>
      <c r="C316" s="103"/>
      <c r="D316" s="103"/>
      <c r="E316" s="103"/>
      <c r="F316" s="103"/>
      <c r="G316" s="103"/>
    </row>
    <row r="317" spans="1:22">
      <c r="A317" s="152" t="s">
        <v>403</v>
      </c>
      <c r="B317" s="103"/>
      <c r="C317" s="103"/>
      <c r="D317" s="103"/>
      <c r="E317" s="103"/>
      <c r="F317" s="103"/>
      <c r="G317" s="103"/>
    </row>
    <row r="318" spans="1:22">
      <c r="A318" s="140"/>
      <c r="B318" s="103"/>
      <c r="C318" s="103"/>
      <c r="D318" s="103"/>
      <c r="E318" s="103"/>
      <c r="F318" s="103"/>
      <c r="G318" s="103"/>
    </row>
    <row r="319" spans="1:22" s="34" customFormat="1">
      <c r="A319" s="171" t="s">
        <v>369</v>
      </c>
      <c r="B319" s="341" t="s">
        <v>268</v>
      </c>
      <c r="C319" s="341" t="s">
        <v>269</v>
      </c>
      <c r="D319" s="341" t="s">
        <v>270</v>
      </c>
      <c r="E319" s="341" t="s">
        <v>271</v>
      </c>
      <c r="F319" s="342" t="s">
        <v>272</v>
      </c>
      <c r="G319" s="153" t="s">
        <v>229</v>
      </c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</row>
    <row r="320" spans="1:22">
      <c r="A320" s="174" t="s">
        <v>206</v>
      </c>
      <c r="B320" s="88">
        <v>10</v>
      </c>
      <c r="C320" s="89">
        <v>19</v>
      </c>
      <c r="D320" s="89">
        <v>14</v>
      </c>
      <c r="E320" s="89">
        <v>7</v>
      </c>
      <c r="F320" s="90">
        <v>12</v>
      </c>
      <c r="G320" s="103">
        <f>MIN(B320:F320)</f>
        <v>7</v>
      </c>
    </row>
    <row r="321" spans="1:22">
      <c r="A321" s="174" t="s">
        <v>207</v>
      </c>
      <c r="B321" s="92">
        <v>11</v>
      </c>
      <c r="C321" s="93">
        <v>7</v>
      </c>
      <c r="D321" s="93">
        <v>10</v>
      </c>
      <c r="E321" s="93">
        <v>0</v>
      </c>
      <c r="F321" s="94">
        <v>1</v>
      </c>
      <c r="G321" s="103">
        <f t="shared" ref="G321:G323" si="55">MIN(B321:F321)</f>
        <v>0</v>
      </c>
    </row>
    <row r="322" spans="1:22">
      <c r="A322" s="174" t="s">
        <v>208</v>
      </c>
      <c r="B322" s="92">
        <v>0</v>
      </c>
      <c r="C322" s="93">
        <v>0</v>
      </c>
      <c r="D322" s="93">
        <v>1</v>
      </c>
      <c r="E322" s="93">
        <v>12</v>
      </c>
      <c r="F322" s="94">
        <v>1</v>
      </c>
      <c r="G322" s="103">
        <f t="shared" si="55"/>
        <v>0</v>
      </c>
    </row>
    <row r="323" spans="1:22">
      <c r="A323" s="175" t="s">
        <v>209</v>
      </c>
      <c r="B323" s="95">
        <v>0</v>
      </c>
      <c r="C323" s="96">
        <v>1</v>
      </c>
      <c r="D323" s="96">
        <v>2</v>
      </c>
      <c r="E323" s="96">
        <v>3</v>
      </c>
      <c r="F323" s="97">
        <v>3</v>
      </c>
      <c r="G323" s="103">
        <f t="shared" si="55"/>
        <v>0</v>
      </c>
    </row>
    <row r="324" spans="1:22">
      <c r="A324" s="140" t="s">
        <v>404</v>
      </c>
      <c r="B324" s="103">
        <f>MIN(B320:B323)</f>
        <v>0</v>
      </c>
      <c r="C324" s="103">
        <f t="shared" ref="C324:F324" si="56">MIN(C320:C323)</f>
        <v>0</v>
      </c>
      <c r="D324" s="103">
        <f t="shared" si="56"/>
        <v>1</v>
      </c>
      <c r="E324" s="103">
        <f t="shared" si="56"/>
        <v>0</v>
      </c>
      <c r="F324" s="103">
        <f t="shared" si="56"/>
        <v>1</v>
      </c>
      <c r="G324" s="154">
        <f>MIN(B320:F323)</f>
        <v>0</v>
      </c>
    </row>
    <row r="325" spans="1:22">
      <c r="A325" s="140"/>
      <c r="B325" s="103"/>
      <c r="C325" s="103"/>
      <c r="D325" s="103"/>
      <c r="E325" s="103"/>
      <c r="F325" s="103"/>
      <c r="G325" s="103"/>
    </row>
    <row r="326" spans="1:22" s="34" customFormat="1">
      <c r="A326" s="156" t="s">
        <v>405</v>
      </c>
      <c r="B326" s="153" t="s">
        <v>268</v>
      </c>
      <c r="C326" s="153" t="s">
        <v>269</v>
      </c>
      <c r="D326" s="153" t="s">
        <v>270</v>
      </c>
      <c r="E326" s="153" t="s">
        <v>271</v>
      </c>
      <c r="F326" s="153" t="s">
        <v>272</v>
      </c>
      <c r="G326" s="153"/>
      <c r="H326" s="141"/>
      <c r="I326" s="224" t="s">
        <v>507</v>
      </c>
      <c r="J326" s="112" t="s">
        <v>268</v>
      </c>
      <c r="K326" s="112" t="s">
        <v>269</v>
      </c>
      <c r="L326" s="112" t="s">
        <v>270</v>
      </c>
      <c r="M326" s="112" t="s">
        <v>271</v>
      </c>
      <c r="N326" s="113" t="s">
        <v>272</v>
      </c>
      <c r="O326" s="248"/>
      <c r="P326" s="224" t="s">
        <v>508</v>
      </c>
      <c r="Q326" s="112" t="s">
        <v>268</v>
      </c>
      <c r="R326" s="112" t="s">
        <v>269</v>
      </c>
      <c r="S326" s="112" t="s">
        <v>270</v>
      </c>
      <c r="T326" s="112" t="s">
        <v>271</v>
      </c>
      <c r="U326" s="113" t="s">
        <v>272</v>
      </c>
      <c r="V326" s="141"/>
    </row>
    <row r="327" spans="1:22">
      <c r="A327" s="156" t="s">
        <v>206</v>
      </c>
      <c r="B327" s="103">
        <f t="shared" ref="B327:F330" si="57">B320-$G320</f>
        <v>3</v>
      </c>
      <c r="C327" s="103">
        <f t="shared" si="57"/>
        <v>12</v>
      </c>
      <c r="D327" s="103">
        <f t="shared" si="57"/>
        <v>7</v>
      </c>
      <c r="E327" s="103">
        <f t="shared" si="57"/>
        <v>0</v>
      </c>
      <c r="F327" s="103">
        <f t="shared" si="57"/>
        <v>5</v>
      </c>
      <c r="G327" s="103"/>
      <c r="I327" s="118" t="s">
        <v>206</v>
      </c>
      <c r="J327" s="119">
        <v>3</v>
      </c>
      <c r="K327" s="120">
        <v>12</v>
      </c>
      <c r="L327" s="120">
        <v>7</v>
      </c>
      <c r="M327" s="120">
        <v>0</v>
      </c>
      <c r="N327" s="121">
        <v>5</v>
      </c>
      <c r="O327" s="249"/>
      <c r="P327" s="118" t="s">
        <v>206</v>
      </c>
      <c r="Q327" s="119">
        <v>10</v>
      </c>
      <c r="R327" s="120">
        <v>19</v>
      </c>
      <c r="S327" s="120">
        <v>13</v>
      </c>
      <c r="T327" s="120">
        <v>7</v>
      </c>
      <c r="U327" s="121">
        <v>11</v>
      </c>
    </row>
    <row r="328" spans="1:22">
      <c r="A328" s="156" t="s">
        <v>207</v>
      </c>
      <c r="B328" s="103">
        <f t="shared" si="57"/>
        <v>11</v>
      </c>
      <c r="C328" s="103">
        <f t="shared" si="57"/>
        <v>7</v>
      </c>
      <c r="D328" s="103">
        <f t="shared" si="57"/>
        <v>10</v>
      </c>
      <c r="E328" s="103">
        <f t="shared" si="57"/>
        <v>0</v>
      </c>
      <c r="F328" s="103">
        <f t="shared" si="57"/>
        <v>1</v>
      </c>
      <c r="G328" s="103"/>
      <c r="I328" s="118" t="s">
        <v>207</v>
      </c>
      <c r="J328" s="124">
        <v>11</v>
      </c>
      <c r="K328" s="125">
        <v>7</v>
      </c>
      <c r="L328" s="125">
        <v>10</v>
      </c>
      <c r="M328" s="125">
        <v>0</v>
      </c>
      <c r="N328" s="126">
        <v>1</v>
      </c>
      <c r="O328" s="249"/>
      <c r="P328" s="118" t="s">
        <v>207</v>
      </c>
      <c r="Q328" s="124">
        <v>11</v>
      </c>
      <c r="R328" s="125">
        <v>7</v>
      </c>
      <c r="S328" s="125">
        <v>9</v>
      </c>
      <c r="T328" s="125">
        <v>0</v>
      </c>
      <c r="U328" s="126">
        <v>0</v>
      </c>
    </row>
    <row r="329" spans="1:22">
      <c r="A329" s="156" t="s">
        <v>208</v>
      </c>
      <c r="B329" s="103">
        <f t="shared" si="57"/>
        <v>0</v>
      </c>
      <c r="C329" s="103">
        <f t="shared" si="57"/>
        <v>0</v>
      </c>
      <c r="D329" s="103">
        <f t="shared" si="57"/>
        <v>1</v>
      </c>
      <c r="E329" s="103">
        <f t="shared" si="57"/>
        <v>12</v>
      </c>
      <c r="F329" s="103">
        <f t="shared" si="57"/>
        <v>1</v>
      </c>
      <c r="G329" s="103"/>
      <c r="I329" s="118" t="s">
        <v>208</v>
      </c>
      <c r="J329" s="124">
        <v>0</v>
      </c>
      <c r="K329" s="125">
        <v>0</v>
      </c>
      <c r="L329" s="125">
        <v>1</v>
      </c>
      <c r="M329" s="125">
        <v>12</v>
      </c>
      <c r="N329" s="126">
        <v>1</v>
      </c>
      <c r="O329" s="249"/>
      <c r="P329" s="118" t="s">
        <v>208</v>
      </c>
      <c r="Q329" s="124">
        <v>0</v>
      </c>
      <c r="R329" s="125">
        <v>0</v>
      </c>
      <c r="S329" s="125">
        <v>0</v>
      </c>
      <c r="T329" s="125">
        <v>12</v>
      </c>
      <c r="U329" s="126">
        <v>0</v>
      </c>
    </row>
    <row r="330" spans="1:22">
      <c r="A330" s="156" t="s">
        <v>209</v>
      </c>
      <c r="B330" s="103">
        <f t="shared" si="57"/>
        <v>0</v>
      </c>
      <c r="C330" s="103">
        <f t="shared" si="57"/>
        <v>1</v>
      </c>
      <c r="D330" s="103">
        <f t="shared" si="57"/>
        <v>2</v>
      </c>
      <c r="E330" s="103">
        <f t="shared" si="57"/>
        <v>3</v>
      </c>
      <c r="F330" s="103">
        <f t="shared" si="57"/>
        <v>3</v>
      </c>
      <c r="G330" s="103"/>
      <c r="I330" s="131" t="s">
        <v>209</v>
      </c>
      <c r="J330" s="132">
        <v>0</v>
      </c>
      <c r="K330" s="133">
        <v>1</v>
      </c>
      <c r="L330" s="133">
        <v>2</v>
      </c>
      <c r="M330" s="133">
        <v>3</v>
      </c>
      <c r="N330" s="134">
        <v>3</v>
      </c>
      <c r="O330" s="249"/>
      <c r="P330" s="131" t="s">
        <v>209</v>
      </c>
      <c r="Q330" s="132">
        <v>0</v>
      </c>
      <c r="R330" s="133">
        <v>1</v>
      </c>
      <c r="S330" s="133">
        <v>1</v>
      </c>
      <c r="T330" s="133">
        <v>3</v>
      </c>
      <c r="U330" s="134">
        <v>2</v>
      </c>
    </row>
    <row r="331" spans="1:22">
      <c r="A331" s="156"/>
      <c r="B331" s="103"/>
      <c r="C331" s="103"/>
      <c r="D331" s="103"/>
      <c r="E331" s="103"/>
      <c r="F331" s="103"/>
      <c r="G331" s="103"/>
      <c r="I331" s="249"/>
      <c r="J331" s="249"/>
      <c r="K331" s="249"/>
      <c r="L331" s="249"/>
      <c r="M331" s="249"/>
      <c r="N331" s="249"/>
      <c r="O331" s="249"/>
      <c r="P331" s="249"/>
      <c r="Q331" s="249"/>
      <c r="R331" s="249"/>
      <c r="S331" s="249"/>
      <c r="T331" s="249"/>
      <c r="U331" s="249"/>
    </row>
    <row r="332" spans="1:22" s="34" customFormat="1">
      <c r="A332" s="156" t="s">
        <v>406</v>
      </c>
      <c r="B332" s="153" t="s">
        <v>268</v>
      </c>
      <c r="C332" s="153" t="s">
        <v>269</v>
      </c>
      <c r="D332" s="153" t="s">
        <v>270</v>
      </c>
      <c r="E332" s="153" t="s">
        <v>271</v>
      </c>
      <c r="F332" s="153" t="s">
        <v>272</v>
      </c>
      <c r="G332" s="153"/>
      <c r="H332" s="141"/>
      <c r="I332" s="224" t="s">
        <v>509</v>
      </c>
      <c r="J332" s="112" t="s">
        <v>268</v>
      </c>
      <c r="K332" s="112" t="s">
        <v>269</v>
      </c>
      <c r="L332" s="112" t="s">
        <v>270</v>
      </c>
      <c r="M332" s="112" t="s">
        <v>271</v>
      </c>
      <c r="N332" s="113" t="s">
        <v>272</v>
      </c>
      <c r="O332" s="248"/>
      <c r="P332" s="224" t="s">
        <v>510</v>
      </c>
      <c r="Q332" s="112" t="s">
        <v>268</v>
      </c>
      <c r="R332" s="112" t="s">
        <v>269</v>
      </c>
      <c r="S332" s="112" t="s">
        <v>270</v>
      </c>
      <c r="T332" s="112" t="s">
        <v>271</v>
      </c>
      <c r="U332" s="113" t="s">
        <v>272</v>
      </c>
      <c r="V332" s="141"/>
    </row>
    <row r="333" spans="1:22">
      <c r="A333" s="156" t="s">
        <v>278</v>
      </c>
      <c r="B333" s="103">
        <f t="shared" ref="B333:F336" si="58">B320-B$324</f>
        <v>10</v>
      </c>
      <c r="C333" s="103">
        <f t="shared" si="58"/>
        <v>19</v>
      </c>
      <c r="D333" s="103">
        <f t="shared" si="58"/>
        <v>13</v>
      </c>
      <c r="E333" s="103">
        <f t="shared" si="58"/>
        <v>7</v>
      </c>
      <c r="F333" s="103">
        <f t="shared" si="58"/>
        <v>11</v>
      </c>
      <c r="G333" s="103"/>
      <c r="I333" s="118" t="s">
        <v>206</v>
      </c>
      <c r="J333" s="119">
        <v>6.5</v>
      </c>
      <c r="K333" s="120">
        <v>15.5</v>
      </c>
      <c r="L333" s="120">
        <v>10</v>
      </c>
      <c r="M333" s="120">
        <v>3.5</v>
      </c>
      <c r="N333" s="121">
        <v>8</v>
      </c>
      <c r="O333" s="249"/>
      <c r="P333" s="118" t="s">
        <v>206</v>
      </c>
      <c r="Q333" s="119">
        <v>10</v>
      </c>
      <c r="R333" s="120">
        <v>19</v>
      </c>
      <c r="S333" s="120">
        <v>14</v>
      </c>
      <c r="T333" s="120">
        <v>7</v>
      </c>
      <c r="U333" s="121">
        <v>12</v>
      </c>
    </row>
    <row r="334" spans="1:22">
      <c r="A334" s="156" t="s">
        <v>207</v>
      </c>
      <c r="B334" s="103">
        <f t="shared" si="58"/>
        <v>11</v>
      </c>
      <c r="C334" s="103">
        <f t="shared" si="58"/>
        <v>7</v>
      </c>
      <c r="D334" s="103">
        <f t="shared" si="58"/>
        <v>9</v>
      </c>
      <c r="E334" s="103">
        <f t="shared" si="58"/>
        <v>0</v>
      </c>
      <c r="F334" s="103">
        <f t="shared" si="58"/>
        <v>0</v>
      </c>
      <c r="G334" s="103"/>
      <c r="I334" s="118" t="s">
        <v>207</v>
      </c>
      <c r="J334" s="124">
        <v>11</v>
      </c>
      <c r="K334" s="125">
        <v>7</v>
      </c>
      <c r="L334" s="125">
        <v>9.5</v>
      </c>
      <c r="M334" s="125">
        <v>0</v>
      </c>
      <c r="N334" s="126">
        <v>0.5</v>
      </c>
      <c r="O334" s="249"/>
      <c r="P334" s="118" t="s">
        <v>207</v>
      </c>
      <c r="Q334" s="124">
        <v>11</v>
      </c>
      <c r="R334" s="125">
        <v>7</v>
      </c>
      <c r="S334" s="125">
        <v>10</v>
      </c>
      <c r="T334" s="125">
        <v>0</v>
      </c>
      <c r="U334" s="126">
        <v>1</v>
      </c>
    </row>
    <row r="335" spans="1:22">
      <c r="A335" s="156" t="s">
        <v>208</v>
      </c>
      <c r="B335" s="103">
        <f t="shared" si="58"/>
        <v>0</v>
      </c>
      <c r="C335" s="103">
        <f t="shared" si="58"/>
        <v>0</v>
      </c>
      <c r="D335" s="103">
        <f t="shared" si="58"/>
        <v>0</v>
      </c>
      <c r="E335" s="103">
        <f t="shared" si="58"/>
        <v>12</v>
      </c>
      <c r="F335" s="103">
        <f t="shared" si="58"/>
        <v>0</v>
      </c>
      <c r="G335" s="103"/>
      <c r="I335" s="118" t="s">
        <v>208</v>
      </c>
      <c r="J335" s="124">
        <v>0</v>
      </c>
      <c r="K335" s="125">
        <v>0</v>
      </c>
      <c r="L335" s="125">
        <v>0.5</v>
      </c>
      <c r="M335" s="125">
        <v>12</v>
      </c>
      <c r="N335" s="126">
        <v>0.5</v>
      </c>
      <c r="O335" s="249"/>
      <c r="P335" s="118" t="s">
        <v>208</v>
      </c>
      <c r="Q335" s="124">
        <v>0</v>
      </c>
      <c r="R335" s="125">
        <v>0</v>
      </c>
      <c r="S335" s="125">
        <v>1</v>
      </c>
      <c r="T335" s="125">
        <v>12</v>
      </c>
      <c r="U335" s="126">
        <v>1</v>
      </c>
    </row>
    <row r="336" spans="1:22">
      <c r="A336" s="156" t="s">
        <v>209</v>
      </c>
      <c r="B336" s="103">
        <f t="shared" si="58"/>
        <v>0</v>
      </c>
      <c r="C336" s="103">
        <f t="shared" si="58"/>
        <v>1</v>
      </c>
      <c r="D336" s="103">
        <f t="shared" si="58"/>
        <v>1</v>
      </c>
      <c r="E336" s="103">
        <f t="shared" si="58"/>
        <v>3</v>
      </c>
      <c r="F336" s="103">
        <f t="shared" si="58"/>
        <v>2</v>
      </c>
      <c r="G336" s="103"/>
      <c r="I336" s="131" t="s">
        <v>209</v>
      </c>
      <c r="J336" s="132">
        <v>0</v>
      </c>
      <c r="K336" s="133">
        <v>1</v>
      </c>
      <c r="L336" s="133">
        <v>1.5</v>
      </c>
      <c r="M336" s="133">
        <v>3</v>
      </c>
      <c r="N336" s="134">
        <v>2.5</v>
      </c>
      <c r="O336" s="249"/>
      <c r="P336" s="131" t="s">
        <v>209</v>
      </c>
      <c r="Q336" s="132">
        <v>0</v>
      </c>
      <c r="R336" s="133">
        <v>1</v>
      </c>
      <c r="S336" s="133">
        <v>2</v>
      </c>
      <c r="T336" s="133">
        <v>3</v>
      </c>
      <c r="U336" s="134">
        <v>3</v>
      </c>
    </row>
    <row r="337" spans="1:22">
      <c r="A337" s="156"/>
      <c r="B337" s="103"/>
      <c r="C337" s="103"/>
      <c r="D337" s="103"/>
      <c r="E337" s="103"/>
      <c r="F337" s="103"/>
      <c r="G337" s="103"/>
    </row>
    <row r="338" spans="1:22" s="34" customFormat="1">
      <c r="A338" s="156" t="s">
        <v>407</v>
      </c>
      <c r="B338" s="153" t="s">
        <v>268</v>
      </c>
      <c r="C338" s="153" t="s">
        <v>269</v>
      </c>
      <c r="D338" s="153" t="s">
        <v>270</v>
      </c>
      <c r="E338" s="153" t="s">
        <v>271</v>
      </c>
      <c r="F338" s="153" t="s">
        <v>272</v>
      </c>
      <c r="G338" s="153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</row>
    <row r="339" spans="1:22">
      <c r="A339" s="156" t="s">
        <v>206</v>
      </c>
      <c r="B339" s="103">
        <f t="shared" ref="B339:F342" si="59">(B327+B333)/2</f>
        <v>6.5</v>
      </c>
      <c r="C339" s="103">
        <f t="shared" si="59"/>
        <v>15.5</v>
      </c>
      <c r="D339" s="103">
        <f t="shared" si="59"/>
        <v>10</v>
      </c>
      <c r="E339" s="103">
        <f t="shared" si="59"/>
        <v>3.5</v>
      </c>
      <c r="F339" s="103">
        <f t="shared" si="59"/>
        <v>8</v>
      </c>
      <c r="G339" s="103"/>
    </row>
    <row r="340" spans="1:22">
      <c r="A340" s="156" t="s">
        <v>207</v>
      </c>
      <c r="B340" s="103">
        <f t="shared" si="59"/>
        <v>11</v>
      </c>
      <c r="C340" s="103">
        <f t="shared" si="59"/>
        <v>7</v>
      </c>
      <c r="D340" s="103">
        <f t="shared" si="59"/>
        <v>9.5</v>
      </c>
      <c r="E340" s="103">
        <f t="shared" si="59"/>
        <v>0</v>
      </c>
      <c r="F340" s="103">
        <f t="shared" si="59"/>
        <v>0.5</v>
      </c>
      <c r="G340" s="103"/>
    </row>
    <row r="341" spans="1:22">
      <c r="A341" s="156" t="s">
        <v>208</v>
      </c>
      <c r="B341" s="103">
        <f t="shared" si="59"/>
        <v>0</v>
      </c>
      <c r="C341" s="103">
        <f t="shared" si="59"/>
        <v>0</v>
      </c>
      <c r="D341" s="103">
        <f t="shared" si="59"/>
        <v>0.5</v>
      </c>
      <c r="E341" s="103">
        <f t="shared" si="59"/>
        <v>12</v>
      </c>
      <c r="F341" s="103">
        <f t="shared" si="59"/>
        <v>0.5</v>
      </c>
      <c r="G341" s="103"/>
    </row>
    <row r="342" spans="1:22">
      <c r="A342" s="156" t="s">
        <v>209</v>
      </c>
      <c r="B342" s="103">
        <f t="shared" si="59"/>
        <v>0</v>
      </c>
      <c r="C342" s="103">
        <f t="shared" si="59"/>
        <v>1</v>
      </c>
      <c r="D342" s="103">
        <f t="shared" si="59"/>
        <v>1.5</v>
      </c>
      <c r="E342" s="103">
        <f t="shared" si="59"/>
        <v>3</v>
      </c>
      <c r="F342" s="103">
        <f t="shared" si="59"/>
        <v>2.5</v>
      </c>
      <c r="G342" s="103"/>
    </row>
    <row r="343" spans="1:22">
      <c r="A343" s="156"/>
      <c r="B343" s="103"/>
      <c r="C343" s="103"/>
      <c r="D343" s="103"/>
      <c r="E343" s="103"/>
      <c r="F343" s="103"/>
      <c r="G343" s="103"/>
    </row>
    <row r="344" spans="1:22" s="34" customFormat="1">
      <c r="A344" s="156" t="s">
        <v>408</v>
      </c>
      <c r="B344" s="153" t="s">
        <v>268</v>
      </c>
      <c r="C344" s="153" t="s">
        <v>269</v>
      </c>
      <c r="D344" s="153" t="s">
        <v>270</v>
      </c>
      <c r="E344" s="153" t="s">
        <v>271</v>
      </c>
      <c r="F344" s="153" t="s">
        <v>272</v>
      </c>
      <c r="G344" s="153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</row>
    <row r="345" spans="1:22">
      <c r="A345" s="156" t="s">
        <v>206</v>
      </c>
      <c r="B345" s="103">
        <f t="shared" ref="B345:F348" si="60">B320-$G$324</f>
        <v>10</v>
      </c>
      <c r="C345" s="103">
        <f t="shared" si="60"/>
        <v>19</v>
      </c>
      <c r="D345" s="103">
        <f t="shared" si="60"/>
        <v>14</v>
      </c>
      <c r="E345" s="103">
        <f t="shared" si="60"/>
        <v>7</v>
      </c>
      <c r="F345" s="103">
        <f t="shared" si="60"/>
        <v>12</v>
      </c>
      <c r="G345" s="103"/>
    </row>
    <row r="346" spans="1:22">
      <c r="A346" s="156" t="s">
        <v>207</v>
      </c>
      <c r="B346" s="103">
        <f t="shared" si="60"/>
        <v>11</v>
      </c>
      <c r="C346" s="103">
        <f t="shared" si="60"/>
        <v>7</v>
      </c>
      <c r="D346" s="103">
        <f t="shared" si="60"/>
        <v>10</v>
      </c>
      <c r="E346" s="103">
        <f t="shared" si="60"/>
        <v>0</v>
      </c>
      <c r="F346" s="103">
        <f t="shared" si="60"/>
        <v>1</v>
      </c>
      <c r="G346" s="103"/>
    </row>
    <row r="347" spans="1:22">
      <c r="A347" s="156" t="s">
        <v>208</v>
      </c>
      <c r="B347" s="103">
        <f t="shared" si="60"/>
        <v>0</v>
      </c>
      <c r="C347" s="103">
        <f t="shared" si="60"/>
        <v>0</v>
      </c>
      <c r="D347" s="103">
        <f t="shared" si="60"/>
        <v>1</v>
      </c>
      <c r="E347" s="103">
        <f t="shared" si="60"/>
        <v>12</v>
      </c>
      <c r="F347" s="103">
        <f t="shared" si="60"/>
        <v>1</v>
      </c>
      <c r="G347" s="103"/>
    </row>
    <row r="348" spans="1:22">
      <c r="A348" s="156" t="s">
        <v>209</v>
      </c>
      <c r="B348" s="103">
        <f t="shared" si="60"/>
        <v>0</v>
      </c>
      <c r="C348" s="103">
        <f t="shared" si="60"/>
        <v>1</v>
      </c>
      <c r="D348" s="103">
        <f t="shared" si="60"/>
        <v>2</v>
      </c>
      <c r="E348" s="103">
        <f t="shared" si="60"/>
        <v>3</v>
      </c>
      <c r="F348" s="103">
        <f t="shared" si="60"/>
        <v>3</v>
      </c>
      <c r="G348" s="103"/>
    </row>
    <row r="349" spans="1:22">
      <c r="A349" s="156"/>
      <c r="B349" s="103"/>
      <c r="C349" s="103"/>
      <c r="D349" s="103"/>
      <c r="E349" s="103"/>
      <c r="F349" s="103"/>
      <c r="G349" s="103"/>
    </row>
    <row r="351" spans="1:22">
      <c r="A351" s="139" t="s">
        <v>409</v>
      </c>
      <c r="B351" s="103"/>
      <c r="C351" s="103"/>
      <c r="D351" s="103"/>
      <c r="E351" s="103"/>
      <c r="F351" s="103"/>
      <c r="G351" s="103"/>
    </row>
    <row r="352" spans="1:22">
      <c r="A352" s="157"/>
      <c r="B352" s="103"/>
      <c r="C352" s="103"/>
      <c r="D352" s="103"/>
      <c r="E352" s="103"/>
      <c r="F352" s="103"/>
      <c r="G352" s="103"/>
    </row>
    <row r="353" spans="1:22" s="34" customFormat="1">
      <c r="A353" s="331" t="s">
        <v>369</v>
      </c>
      <c r="B353" s="341" t="s">
        <v>268</v>
      </c>
      <c r="C353" s="341" t="s">
        <v>269</v>
      </c>
      <c r="D353" s="341" t="s">
        <v>270</v>
      </c>
      <c r="E353" s="341" t="s">
        <v>271</v>
      </c>
      <c r="F353" s="342" t="s">
        <v>272</v>
      </c>
      <c r="G353" s="153" t="s">
        <v>229</v>
      </c>
      <c r="H353" s="141"/>
      <c r="I353"/>
      <c r="J353"/>
      <c r="K353"/>
      <c r="L353"/>
      <c r="M353"/>
      <c r="N353"/>
      <c r="O353" s="141"/>
      <c r="P353" s="141"/>
      <c r="Q353" s="141"/>
      <c r="R353" s="141"/>
      <c r="S353" s="141"/>
      <c r="T353" s="141"/>
      <c r="U353" s="141"/>
      <c r="V353" s="141"/>
    </row>
    <row r="354" spans="1:22">
      <c r="A354" s="174" t="s">
        <v>206</v>
      </c>
      <c r="B354" s="88">
        <v>10</v>
      </c>
      <c r="C354" s="89">
        <v>19</v>
      </c>
      <c r="D354" s="89">
        <v>14</v>
      </c>
      <c r="E354" s="89">
        <v>7</v>
      </c>
      <c r="F354" s="90">
        <v>12</v>
      </c>
      <c r="G354" s="103">
        <f>MIN(B354:F354)</f>
        <v>7</v>
      </c>
      <c r="I354"/>
      <c r="J354"/>
      <c r="K354"/>
      <c r="L354"/>
      <c r="M354"/>
      <c r="N354"/>
    </row>
    <row r="355" spans="1:22">
      <c r="A355" s="174" t="s">
        <v>207</v>
      </c>
      <c r="B355" s="92">
        <v>11</v>
      </c>
      <c r="C355" s="93">
        <v>7</v>
      </c>
      <c r="D355" s="93">
        <v>10</v>
      </c>
      <c r="E355" s="93">
        <v>0</v>
      </c>
      <c r="F355" s="94">
        <v>1</v>
      </c>
      <c r="G355" s="103">
        <f t="shared" ref="G355:G357" si="61">MIN(B355:F355)</f>
        <v>0</v>
      </c>
      <c r="I355"/>
      <c r="J355"/>
      <c r="K355"/>
      <c r="L355"/>
      <c r="M355"/>
      <c r="N355"/>
    </row>
    <row r="356" spans="1:22">
      <c r="A356" s="174" t="s">
        <v>208</v>
      </c>
      <c r="B356" s="92">
        <v>0</v>
      </c>
      <c r="C356" s="93">
        <v>0</v>
      </c>
      <c r="D356" s="93">
        <v>1</v>
      </c>
      <c r="E356" s="93">
        <v>12</v>
      </c>
      <c r="F356" s="94">
        <v>1</v>
      </c>
      <c r="G356" s="103">
        <f t="shared" si="61"/>
        <v>0</v>
      </c>
      <c r="I356"/>
      <c r="J356"/>
      <c r="K356"/>
      <c r="L356"/>
      <c r="M356"/>
      <c r="N356"/>
    </row>
    <row r="357" spans="1:22">
      <c r="A357" s="175" t="s">
        <v>209</v>
      </c>
      <c r="B357" s="95">
        <v>0</v>
      </c>
      <c r="C357" s="96">
        <v>1</v>
      </c>
      <c r="D357" s="96">
        <v>2</v>
      </c>
      <c r="E357" s="96">
        <v>3</v>
      </c>
      <c r="F357" s="97">
        <v>3</v>
      </c>
      <c r="G357" s="103">
        <f t="shared" si="61"/>
        <v>0</v>
      </c>
      <c r="I357"/>
      <c r="J357"/>
      <c r="K357"/>
      <c r="L357"/>
      <c r="M357"/>
      <c r="N357"/>
    </row>
    <row r="358" spans="1:22">
      <c r="A358" s="140" t="s">
        <v>404</v>
      </c>
      <c r="B358" s="103">
        <f>MIN(B354:B357)</f>
        <v>0</v>
      </c>
      <c r="C358" s="103">
        <f t="shared" ref="C358:F358" si="62">MIN(C354:C357)</f>
        <v>0</v>
      </c>
      <c r="D358" s="103">
        <f t="shared" si="62"/>
        <v>1</v>
      </c>
      <c r="E358" s="103">
        <f t="shared" si="62"/>
        <v>0</v>
      </c>
      <c r="F358" s="103">
        <f t="shared" si="62"/>
        <v>1</v>
      </c>
      <c r="G358" s="154">
        <f>MIN(B354:F357)</f>
        <v>0</v>
      </c>
    </row>
    <row r="359" spans="1:22">
      <c r="A359" s="140"/>
      <c r="B359" s="103"/>
      <c r="C359" s="103"/>
      <c r="D359" s="103"/>
      <c r="E359" s="103"/>
      <c r="F359" s="103"/>
      <c r="G359" s="103"/>
    </row>
    <row r="360" spans="1:22" s="34" customFormat="1">
      <c r="A360" s="156" t="s">
        <v>410</v>
      </c>
      <c r="B360" s="153" t="s">
        <v>268</v>
      </c>
      <c r="C360" s="153" t="s">
        <v>269</v>
      </c>
      <c r="D360" s="153" t="s">
        <v>270</v>
      </c>
      <c r="E360" s="153" t="s">
        <v>271</v>
      </c>
      <c r="F360" s="153" t="s">
        <v>272</v>
      </c>
      <c r="G360" s="153"/>
      <c r="H360" s="141"/>
      <c r="I360" s="224" t="s">
        <v>511</v>
      </c>
      <c r="J360" s="112" t="s">
        <v>268</v>
      </c>
      <c r="K360" s="112" t="s">
        <v>269</v>
      </c>
      <c r="L360" s="112" t="s">
        <v>270</v>
      </c>
      <c r="M360" s="112" t="s">
        <v>271</v>
      </c>
      <c r="N360" s="113" t="s">
        <v>272</v>
      </c>
      <c r="O360" s="141"/>
      <c r="P360" s="41" t="s">
        <v>512</v>
      </c>
      <c r="Q360" s="42" t="s">
        <v>268</v>
      </c>
      <c r="R360" s="42" t="s">
        <v>269</v>
      </c>
      <c r="S360" s="42" t="s">
        <v>270</v>
      </c>
      <c r="T360" s="42" t="s">
        <v>271</v>
      </c>
      <c r="U360" s="43" t="s">
        <v>272</v>
      </c>
      <c r="V360" s="141"/>
    </row>
    <row r="361" spans="1:22">
      <c r="A361" s="156" t="s">
        <v>206</v>
      </c>
      <c r="B361" s="103">
        <f t="shared" ref="B361:F364" si="63">B320/$G354</f>
        <v>1.4285714285714286</v>
      </c>
      <c r="C361" s="103">
        <f t="shared" si="63"/>
        <v>2.7142857142857144</v>
      </c>
      <c r="D361" s="103">
        <f t="shared" si="63"/>
        <v>2</v>
      </c>
      <c r="E361" s="103">
        <f t="shared" si="63"/>
        <v>1</v>
      </c>
      <c r="F361" s="103">
        <f t="shared" si="63"/>
        <v>1.7142857142857142</v>
      </c>
      <c r="G361" s="103"/>
      <c r="I361" s="118" t="s">
        <v>206</v>
      </c>
      <c r="J361" s="119">
        <v>1.4285714285714286</v>
      </c>
      <c r="K361" s="120">
        <v>2.7142857142857144</v>
      </c>
      <c r="L361" s="120">
        <v>2</v>
      </c>
      <c r="M361" s="120">
        <v>1</v>
      </c>
      <c r="N361" s="121">
        <v>1.7142857142857142</v>
      </c>
      <c r="P361" s="44" t="s">
        <v>206</v>
      </c>
      <c r="Q361" s="46" t="s">
        <v>519</v>
      </c>
      <c r="R361" s="47" t="s">
        <v>519</v>
      </c>
      <c r="S361" s="47">
        <v>14</v>
      </c>
      <c r="T361" s="47" t="s">
        <v>519</v>
      </c>
      <c r="U361" s="48">
        <v>12</v>
      </c>
    </row>
    <row r="362" spans="1:22">
      <c r="A362" s="156" t="s">
        <v>207</v>
      </c>
      <c r="B362" s="103" t="e">
        <f t="shared" si="63"/>
        <v>#DIV/0!</v>
      </c>
      <c r="C362" s="103" t="e">
        <f t="shared" si="63"/>
        <v>#DIV/0!</v>
      </c>
      <c r="D362" s="103" t="e">
        <f t="shared" si="63"/>
        <v>#DIV/0!</v>
      </c>
      <c r="E362" s="103" t="e">
        <f t="shared" si="63"/>
        <v>#DIV/0!</v>
      </c>
      <c r="F362" s="103" t="e">
        <f t="shared" si="63"/>
        <v>#DIV/0!</v>
      </c>
      <c r="G362" s="103"/>
      <c r="I362" s="118" t="s">
        <v>207</v>
      </c>
      <c r="J362" s="49" t="s">
        <v>519</v>
      </c>
      <c r="K362" s="50" t="s">
        <v>519</v>
      </c>
      <c r="L362" s="50" t="s">
        <v>519</v>
      </c>
      <c r="M362" s="50" t="s">
        <v>519</v>
      </c>
      <c r="N362" s="51" t="s">
        <v>519</v>
      </c>
      <c r="P362" s="44" t="s">
        <v>207</v>
      </c>
      <c r="Q362" s="49" t="s">
        <v>519</v>
      </c>
      <c r="R362" s="50" t="s">
        <v>519</v>
      </c>
      <c r="S362" s="50">
        <v>10</v>
      </c>
      <c r="T362" s="50" t="s">
        <v>519</v>
      </c>
      <c r="U362" s="51">
        <v>1</v>
      </c>
    </row>
    <row r="363" spans="1:22">
      <c r="A363" s="156" t="s">
        <v>208</v>
      </c>
      <c r="B363" s="103" t="e">
        <f t="shared" si="63"/>
        <v>#DIV/0!</v>
      </c>
      <c r="C363" s="103" t="e">
        <f t="shared" si="63"/>
        <v>#DIV/0!</v>
      </c>
      <c r="D363" s="103" t="e">
        <f t="shared" si="63"/>
        <v>#DIV/0!</v>
      </c>
      <c r="E363" s="103" t="e">
        <f t="shared" si="63"/>
        <v>#DIV/0!</v>
      </c>
      <c r="F363" s="103" t="e">
        <f t="shared" si="63"/>
        <v>#DIV/0!</v>
      </c>
      <c r="G363" s="103"/>
      <c r="I363" s="118" t="s">
        <v>208</v>
      </c>
      <c r="J363" s="49" t="s">
        <v>519</v>
      </c>
      <c r="K363" s="50" t="s">
        <v>519</v>
      </c>
      <c r="L363" s="50" t="s">
        <v>519</v>
      </c>
      <c r="M363" s="50" t="s">
        <v>519</v>
      </c>
      <c r="N363" s="51" t="s">
        <v>519</v>
      </c>
      <c r="P363" s="44" t="s">
        <v>208</v>
      </c>
      <c r="Q363" s="49" t="s">
        <v>519</v>
      </c>
      <c r="R363" s="50" t="s">
        <v>519</v>
      </c>
      <c r="S363" s="50">
        <v>1</v>
      </c>
      <c r="T363" s="50" t="s">
        <v>519</v>
      </c>
      <c r="U363" s="51">
        <v>1</v>
      </c>
    </row>
    <row r="364" spans="1:22">
      <c r="A364" s="156" t="s">
        <v>209</v>
      </c>
      <c r="B364" s="103" t="e">
        <f t="shared" si="63"/>
        <v>#DIV/0!</v>
      </c>
      <c r="C364" s="103" t="e">
        <f t="shared" si="63"/>
        <v>#DIV/0!</v>
      </c>
      <c r="D364" s="103" t="e">
        <f t="shared" si="63"/>
        <v>#DIV/0!</v>
      </c>
      <c r="E364" s="103" t="e">
        <f t="shared" si="63"/>
        <v>#DIV/0!</v>
      </c>
      <c r="F364" s="103" t="e">
        <f t="shared" si="63"/>
        <v>#DIV/0!</v>
      </c>
      <c r="G364" s="103"/>
      <c r="I364" s="131" t="s">
        <v>209</v>
      </c>
      <c r="J364" s="52" t="s">
        <v>519</v>
      </c>
      <c r="K364" s="53" t="s">
        <v>519</v>
      </c>
      <c r="L364" s="53" t="s">
        <v>519</v>
      </c>
      <c r="M364" s="53" t="s">
        <v>519</v>
      </c>
      <c r="N364" s="54" t="s">
        <v>519</v>
      </c>
      <c r="P364" s="45" t="s">
        <v>209</v>
      </c>
      <c r="Q364" s="52" t="s">
        <v>519</v>
      </c>
      <c r="R364" s="53" t="s">
        <v>519</v>
      </c>
      <c r="S364" s="53">
        <v>2</v>
      </c>
      <c r="T364" s="53" t="s">
        <v>519</v>
      </c>
      <c r="U364" s="54">
        <v>3</v>
      </c>
    </row>
    <row r="365" spans="1:22">
      <c r="A365" s="156"/>
      <c r="B365" s="103"/>
      <c r="C365" s="103"/>
      <c r="D365" s="103"/>
      <c r="E365" s="103"/>
      <c r="F365" s="103"/>
      <c r="G365" s="103"/>
    </row>
    <row r="366" spans="1:22" s="34" customFormat="1">
      <c r="A366" s="156" t="s">
        <v>411</v>
      </c>
      <c r="B366" s="153" t="s">
        <v>268</v>
      </c>
      <c r="C366" s="153" t="s">
        <v>269</v>
      </c>
      <c r="D366" s="153" t="s">
        <v>270</v>
      </c>
      <c r="E366" s="153" t="s">
        <v>271</v>
      </c>
      <c r="F366" s="153" t="s">
        <v>272</v>
      </c>
      <c r="G366" s="153"/>
      <c r="H366" s="141"/>
      <c r="I366" s="41" t="s">
        <v>513</v>
      </c>
      <c r="J366" s="42" t="s">
        <v>268</v>
      </c>
      <c r="K366" s="42" t="s">
        <v>269</v>
      </c>
      <c r="L366" s="42" t="s">
        <v>270</v>
      </c>
      <c r="M366" s="42" t="s">
        <v>271</v>
      </c>
      <c r="N366" s="43" t="s">
        <v>272</v>
      </c>
      <c r="O366" s="141"/>
      <c r="P366" s="41" t="s">
        <v>514</v>
      </c>
      <c r="Q366" s="42" t="s">
        <v>268</v>
      </c>
      <c r="R366" s="42" t="s">
        <v>269</v>
      </c>
      <c r="S366" s="42" t="s">
        <v>270</v>
      </c>
      <c r="T366" s="42" t="s">
        <v>271</v>
      </c>
      <c r="U366" s="43" t="s">
        <v>272</v>
      </c>
      <c r="V366" s="141"/>
    </row>
    <row r="367" spans="1:22">
      <c r="A367" s="156" t="s">
        <v>206</v>
      </c>
      <c r="B367" s="103" t="e">
        <f t="shared" ref="B367:F370" si="64">B320/B$358</f>
        <v>#DIV/0!</v>
      </c>
      <c r="C367" s="103" t="e">
        <f t="shared" si="64"/>
        <v>#DIV/0!</v>
      </c>
      <c r="D367" s="103">
        <f t="shared" si="64"/>
        <v>14</v>
      </c>
      <c r="E367" s="103" t="e">
        <f t="shared" si="64"/>
        <v>#DIV/0!</v>
      </c>
      <c r="F367" s="103">
        <f t="shared" si="64"/>
        <v>12</v>
      </c>
      <c r="G367" s="103"/>
      <c r="I367" s="44" t="s">
        <v>206</v>
      </c>
      <c r="J367" s="46">
        <v>2.8571428571428572</v>
      </c>
      <c r="K367" s="47">
        <v>5.4285714285714288</v>
      </c>
      <c r="L367" s="47">
        <v>3.5</v>
      </c>
      <c r="M367" s="47">
        <v>2</v>
      </c>
      <c r="N367" s="48">
        <v>3</v>
      </c>
      <c r="P367" s="44" t="s">
        <v>206</v>
      </c>
      <c r="Q367" s="46" t="s">
        <v>519</v>
      </c>
      <c r="R367" s="47" t="s">
        <v>519</v>
      </c>
      <c r="S367" s="47" t="s">
        <v>519</v>
      </c>
      <c r="T367" s="47" t="s">
        <v>519</v>
      </c>
      <c r="U367" s="48" t="s">
        <v>519</v>
      </c>
    </row>
    <row r="368" spans="1:22">
      <c r="A368" s="156" t="s">
        <v>276</v>
      </c>
      <c r="B368" s="103" t="e">
        <f t="shared" si="64"/>
        <v>#DIV/0!</v>
      </c>
      <c r="C368" s="103" t="e">
        <f t="shared" si="64"/>
        <v>#DIV/0!</v>
      </c>
      <c r="D368" s="103">
        <f t="shared" si="64"/>
        <v>10</v>
      </c>
      <c r="E368" s="103" t="e">
        <f t="shared" si="64"/>
        <v>#DIV/0!</v>
      </c>
      <c r="F368" s="103">
        <f t="shared" si="64"/>
        <v>1</v>
      </c>
      <c r="G368" s="103"/>
      <c r="I368" s="44" t="s">
        <v>207</v>
      </c>
      <c r="J368" s="49" t="s">
        <v>519</v>
      </c>
      <c r="K368" s="50" t="s">
        <v>519</v>
      </c>
      <c r="L368" s="50">
        <v>20</v>
      </c>
      <c r="M368" s="50" t="s">
        <v>519</v>
      </c>
      <c r="N368" s="51">
        <v>2</v>
      </c>
      <c r="P368" s="44" t="s">
        <v>207</v>
      </c>
      <c r="Q368" s="49" t="s">
        <v>519</v>
      </c>
      <c r="R368" s="50" t="s">
        <v>519</v>
      </c>
      <c r="S368" s="50" t="s">
        <v>519</v>
      </c>
      <c r="T368" s="50" t="s">
        <v>519</v>
      </c>
      <c r="U368" s="51" t="s">
        <v>519</v>
      </c>
    </row>
    <row r="369" spans="1:22">
      <c r="A369" s="156" t="s">
        <v>208</v>
      </c>
      <c r="B369" s="103" t="e">
        <f t="shared" si="64"/>
        <v>#DIV/0!</v>
      </c>
      <c r="C369" s="103" t="e">
        <f t="shared" si="64"/>
        <v>#DIV/0!</v>
      </c>
      <c r="D369" s="103">
        <f t="shared" si="64"/>
        <v>1</v>
      </c>
      <c r="E369" s="103" t="e">
        <f t="shared" si="64"/>
        <v>#DIV/0!</v>
      </c>
      <c r="F369" s="103">
        <f t="shared" si="64"/>
        <v>1</v>
      </c>
      <c r="G369" s="103"/>
      <c r="I369" s="44" t="s">
        <v>208</v>
      </c>
      <c r="J369" s="49" t="s">
        <v>519</v>
      </c>
      <c r="K369" s="50" t="s">
        <v>519</v>
      </c>
      <c r="L369" s="50">
        <v>2</v>
      </c>
      <c r="M369" s="50" t="s">
        <v>519</v>
      </c>
      <c r="N369" s="51">
        <v>2</v>
      </c>
      <c r="P369" s="44" t="s">
        <v>208</v>
      </c>
      <c r="Q369" s="49" t="s">
        <v>519</v>
      </c>
      <c r="R369" s="50" t="s">
        <v>519</v>
      </c>
      <c r="S369" s="50" t="s">
        <v>519</v>
      </c>
      <c r="T369" s="50" t="s">
        <v>519</v>
      </c>
      <c r="U369" s="51" t="s">
        <v>519</v>
      </c>
    </row>
    <row r="370" spans="1:22">
      <c r="A370" s="156" t="s">
        <v>209</v>
      </c>
      <c r="B370" s="103" t="e">
        <f t="shared" si="64"/>
        <v>#DIV/0!</v>
      </c>
      <c r="C370" s="103" t="e">
        <f t="shared" si="64"/>
        <v>#DIV/0!</v>
      </c>
      <c r="D370" s="103">
        <f t="shared" si="64"/>
        <v>2</v>
      </c>
      <c r="E370" s="103" t="e">
        <f t="shared" si="64"/>
        <v>#DIV/0!</v>
      </c>
      <c r="F370" s="103">
        <f t="shared" si="64"/>
        <v>3</v>
      </c>
      <c r="G370" s="103"/>
      <c r="I370" s="45" t="s">
        <v>209</v>
      </c>
      <c r="J370" s="52" t="s">
        <v>519</v>
      </c>
      <c r="K370" s="53" t="s">
        <v>519</v>
      </c>
      <c r="L370" s="53">
        <v>4</v>
      </c>
      <c r="M370" s="53" t="s">
        <v>519</v>
      </c>
      <c r="N370" s="54">
        <v>6</v>
      </c>
      <c r="P370" s="45" t="s">
        <v>209</v>
      </c>
      <c r="Q370" s="52" t="s">
        <v>519</v>
      </c>
      <c r="R370" s="53" t="s">
        <v>519</v>
      </c>
      <c r="S370" s="53" t="s">
        <v>519</v>
      </c>
      <c r="T370" s="53" t="s">
        <v>519</v>
      </c>
      <c r="U370" s="54" t="s">
        <v>519</v>
      </c>
    </row>
    <row r="371" spans="1:22">
      <c r="A371" s="156"/>
      <c r="B371" s="103"/>
      <c r="C371" s="103"/>
      <c r="D371" s="103"/>
      <c r="E371" s="103"/>
      <c r="F371" s="103"/>
      <c r="G371" s="103"/>
    </row>
    <row r="372" spans="1:22" s="34" customFormat="1">
      <c r="A372" s="156" t="s">
        <v>412</v>
      </c>
      <c r="B372" s="153" t="s">
        <v>268</v>
      </c>
      <c r="C372" s="153" t="s">
        <v>269</v>
      </c>
      <c r="D372" s="153" t="s">
        <v>270</v>
      </c>
      <c r="E372" s="153" t="s">
        <v>271</v>
      </c>
      <c r="F372" s="153" t="s">
        <v>272</v>
      </c>
      <c r="G372" s="153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</row>
    <row r="373" spans="1:22">
      <c r="A373" s="156" t="s">
        <v>206</v>
      </c>
      <c r="B373" s="103">
        <f t="shared" ref="B373:F376" si="65">(2*B354)/($G354+B$358)</f>
        <v>2.8571428571428572</v>
      </c>
      <c r="C373" s="103">
        <f t="shared" si="65"/>
        <v>5.4285714285714288</v>
      </c>
      <c r="D373" s="103">
        <f t="shared" si="65"/>
        <v>3.5</v>
      </c>
      <c r="E373" s="103">
        <f t="shared" si="65"/>
        <v>2</v>
      </c>
      <c r="F373" s="103">
        <f t="shared" si="65"/>
        <v>3</v>
      </c>
      <c r="G373" s="103"/>
    </row>
    <row r="374" spans="1:22">
      <c r="A374" s="156" t="s">
        <v>207</v>
      </c>
      <c r="B374" s="103" t="e">
        <f t="shared" si="65"/>
        <v>#DIV/0!</v>
      </c>
      <c r="C374" s="103" t="e">
        <f t="shared" si="65"/>
        <v>#DIV/0!</v>
      </c>
      <c r="D374" s="103">
        <f t="shared" si="65"/>
        <v>20</v>
      </c>
      <c r="E374" s="103" t="e">
        <f t="shared" si="65"/>
        <v>#DIV/0!</v>
      </c>
      <c r="F374" s="103">
        <f t="shared" si="65"/>
        <v>2</v>
      </c>
      <c r="G374" s="103"/>
    </row>
    <row r="375" spans="1:22">
      <c r="A375" s="156" t="s">
        <v>208</v>
      </c>
      <c r="B375" s="103" t="e">
        <f t="shared" si="65"/>
        <v>#DIV/0!</v>
      </c>
      <c r="C375" s="103" t="e">
        <f t="shared" si="65"/>
        <v>#DIV/0!</v>
      </c>
      <c r="D375" s="103">
        <f t="shared" si="65"/>
        <v>2</v>
      </c>
      <c r="E375" s="103" t="e">
        <f t="shared" si="65"/>
        <v>#DIV/0!</v>
      </c>
      <c r="F375" s="103">
        <f t="shared" si="65"/>
        <v>2</v>
      </c>
      <c r="G375" s="103"/>
    </row>
    <row r="376" spans="1:22">
      <c r="A376" s="156" t="s">
        <v>209</v>
      </c>
      <c r="B376" s="103" t="e">
        <f t="shared" si="65"/>
        <v>#DIV/0!</v>
      </c>
      <c r="C376" s="103" t="e">
        <f t="shared" si="65"/>
        <v>#DIV/0!</v>
      </c>
      <c r="D376" s="103">
        <f t="shared" si="65"/>
        <v>4</v>
      </c>
      <c r="E376" s="103" t="e">
        <f t="shared" si="65"/>
        <v>#DIV/0!</v>
      </c>
      <c r="F376" s="103">
        <f t="shared" si="65"/>
        <v>6</v>
      </c>
      <c r="G376" s="103"/>
    </row>
    <row r="377" spans="1:22">
      <c r="A377" s="156"/>
      <c r="B377" s="103"/>
      <c r="C377" s="103"/>
      <c r="D377" s="103"/>
      <c r="E377" s="103"/>
      <c r="F377" s="103"/>
      <c r="G377" s="103"/>
    </row>
    <row r="378" spans="1:22" s="34" customFormat="1">
      <c r="A378" s="156" t="s">
        <v>413</v>
      </c>
      <c r="B378" s="153" t="s">
        <v>268</v>
      </c>
      <c r="C378" s="153" t="s">
        <v>269</v>
      </c>
      <c r="D378" s="153" t="s">
        <v>270</v>
      </c>
      <c r="E378" s="153" t="s">
        <v>271</v>
      </c>
      <c r="F378" s="153" t="s">
        <v>272</v>
      </c>
      <c r="G378" s="153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</row>
    <row r="379" spans="1:22">
      <c r="A379" s="156" t="s">
        <v>206</v>
      </c>
      <c r="B379" s="103" t="e">
        <f t="shared" ref="B379:F382" si="66">B320/$G$358</f>
        <v>#DIV/0!</v>
      </c>
      <c r="C379" s="103" t="e">
        <f t="shared" si="66"/>
        <v>#DIV/0!</v>
      </c>
      <c r="D379" s="103" t="e">
        <f t="shared" si="66"/>
        <v>#DIV/0!</v>
      </c>
      <c r="E379" s="103" t="e">
        <f t="shared" si="66"/>
        <v>#DIV/0!</v>
      </c>
      <c r="F379" s="103" t="e">
        <f t="shared" si="66"/>
        <v>#DIV/0!</v>
      </c>
      <c r="G379" s="103"/>
    </row>
    <row r="380" spans="1:22">
      <c r="A380" s="156" t="s">
        <v>207</v>
      </c>
      <c r="B380" s="103" t="e">
        <f t="shared" si="66"/>
        <v>#DIV/0!</v>
      </c>
      <c r="C380" s="103" t="e">
        <f t="shared" si="66"/>
        <v>#DIV/0!</v>
      </c>
      <c r="D380" s="103" t="e">
        <f t="shared" si="66"/>
        <v>#DIV/0!</v>
      </c>
      <c r="E380" s="103" t="e">
        <f t="shared" si="66"/>
        <v>#DIV/0!</v>
      </c>
      <c r="F380" s="103" t="e">
        <f t="shared" si="66"/>
        <v>#DIV/0!</v>
      </c>
      <c r="G380" s="103"/>
    </row>
    <row r="381" spans="1:22">
      <c r="A381" s="156" t="s">
        <v>208</v>
      </c>
      <c r="B381" s="103" t="e">
        <f t="shared" si="66"/>
        <v>#DIV/0!</v>
      </c>
      <c r="C381" s="103" t="e">
        <f t="shared" si="66"/>
        <v>#DIV/0!</v>
      </c>
      <c r="D381" s="103" t="e">
        <f t="shared" si="66"/>
        <v>#DIV/0!</v>
      </c>
      <c r="E381" s="103" t="e">
        <f t="shared" si="66"/>
        <v>#DIV/0!</v>
      </c>
      <c r="F381" s="103" t="e">
        <f t="shared" si="66"/>
        <v>#DIV/0!</v>
      </c>
      <c r="G381" s="103"/>
    </row>
    <row r="382" spans="1:22">
      <c r="A382" s="156" t="s">
        <v>209</v>
      </c>
      <c r="B382" s="103" t="e">
        <f t="shared" si="66"/>
        <v>#DIV/0!</v>
      </c>
      <c r="C382" s="103" t="e">
        <f t="shared" si="66"/>
        <v>#DIV/0!</v>
      </c>
      <c r="D382" s="103" t="e">
        <f t="shared" si="66"/>
        <v>#DIV/0!</v>
      </c>
      <c r="E382" s="103" t="e">
        <f t="shared" si="66"/>
        <v>#DIV/0!</v>
      </c>
      <c r="F382" s="103" t="e">
        <f t="shared" si="66"/>
        <v>#DIV/0!</v>
      </c>
      <c r="G382" s="103"/>
    </row>
    <row r="383" spans="1:22">
      <c r="A383" s="156"/>
      <c r="B383" s="103"/>
      <c r="C383" s="103"/>
      <c r="D383" s="103"/>
      <c r="E383" s="103"/>
      <c r="F383" s="103"/>
      <c r="G383" s="103"/>
    </row>
    <row r="385" spans="1:22">
      <c r="A385" s="151" t="s">
        <v>414</v>
      </c>
      <c r="B385" s="103"/>
      <c r="C385" s="103"/>
      <c r="D385" s="103"/>
      <c r="E385" s="103"/>
      <c r="F385" s="103"/>
      <c r="G385" s="103"/>
    </row>
    <row r="386" spans="1:22">
      <c r="A386" s="156"/>
      <c r="B386" s="103"/>
      <c r="C386" s="103"/>
      <c r="D386" s="103"/>
      <c r="E386" s="103"/>
      <c r="F386" s="103"/>
      <c r="G386" s="103"/>
    </row>
    <row r="387" spans="1:22" s="34" customFormat="1">
      <c r="A387" s="331" t="s">
        <v>369</v>
      </c>
      <c r="B387" s="341" t="s">
        <v>268</v>
      </c>
      <c r="C387" s="341" t="s">
        <v>269</v>
      </c>
      <c r="D387" s="341" t="s">
        <v>270</v>
      </c>
      <c r="E387" s="341" t="s">
        <v>271</v>
      </c>
      <c r="F387" s="342" t="s">
        <v>272</v>
      </c>
      <c r="G387" s="153" t="s">
        <v>229</v>
      </c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</row>
    <row r="388" spans="1:22">
      <c r="A388" s="174" t="s">
        <v>206</v>
      </c>
      <c r="B388" s="88">
        <v>10</v>
      </c>
      <c r="C388" s="89">
        <v>19</v>
      </c>
      <c r="D388" s="89">
        <v>14</v>
      </c>
      <c r="E388" s="89">
        <v>7</v>
      </c>
      <c r="F388" s="90">
        <v>12</v>
      </c>
      <c r="G388" s="103">
        <f>MIN(B388:F388)</f>
        <v>7</v>
      </c>
    </row>
    <row r="389" spans="1:22">
      <c r="A389" s="174" t="s">
        <v>207</v>
      </c>
      <c r="B389" s="92">
        <v>11</v>
      </c>
      <c r="C389" s="93">
        <v>7</v>
      </c>
      <c r="D389" s="93">
        <v>10</v>
      </c>
      <c r="E389" s="93">
        <v>0</v>
      </c>
      <c r="F389" s="94">
        <v>1</v>
      </c>
      <c r="G389" s="103">
        <f t="shared" ref="G389:G391" si="67">MIN(B389:F389)</f>
        <v>0</v>
      </c>
    </row>
    <row r="390" spans="1:22">
      <c r="A390" s="174" t="s">
        <v>208</v>
      </c>
      <c r="B390" s="92">
        <v>0</v>
      </c>
      <c r="C390" s="93">
        <v>0</v>
      </c>
      <c r="D390" s="93">
        <v>1</v>
      </c>
      <c r="E390" s="93">
        <v>12</v>
      </c>
      <c r="F390" s="94">
        <v>1</v>
      </c>
      <c r="G390" s="103">
        <f t="shared" si="67"/>
        <v>0</v>
      </c>
    </row>
    <row r="391" spans="1:22">
      <c r="A391" s="175" t="s">
        <v>209</v>
      </c>
      <c r="B391" s="95">
        <v>0</v>
      </c>
      <c r="C391" s="96">
        <v>1</v>
      </c>
      <c r="D391" s="96">
        <v>2</v>
      </c>
      <c r="E391" s="96">
        <v>3</v>
      </c>
      <c r="F391" s="97">
        <v>3</v>
      </c>
      <c r="G391" s="103">
        <f t="shared" si="67"/>
        <v>0</v>
      </c>
    </row>
    <row r="392" spans="1:22">
      <c r="A392" s="140" t="s">
        <v>404</v>
      </c>
      <c r="B392" s="103">
        <f>MIN(B388:B391)</f>
        <v>0</v>
      </c>
      <c r="C392" s="103">
        <f t="shared" ref="C392:F392" si="68">MIN(C388:C391)</f>
        <v>0</v>
      </c>
      <c r="D392" s="103">
        <f t="shared" si="68"/>
        <v>1</v>
      </c>
      <c r="E392" s="103">
        <f t="shared" si="68"/>
        <v>0</v>
      </c>
      <c r="F392" s="103">
        <f t="shared" si="68"/>
        <v>1</v>
      </c>
      <c r="G392" s="154">
        <f>MIN(B388:F391)</f>
        <v>0</v>
      </c>
    </row>
    <row r="393" spans="1:22">
      <c r="A393" s="140"/>
      <c r="B393" s="103"/>
      <c r="C393" s="103"/>
      <c r="D393" s="103"/>
      <c r="E393" s="103"/>
      <c r="F393" s="103"/>
      <c r="G393" s="103"/>
    </row>
    <row r="394" spans="1:22" s="34" customFormat="1">
      <c r="A394" s="156" t="s">
        <v>415</v>
      </c>
      <c r="B394" s="153" t="s">
        <v>268</v>
      </c>
      <c r="C394" s="153" t="s">
        <v>269</v>
      </c>
      <c r="D394" s="153" t="s">
        <v>270</v>
      </c>
      <c r="E394" s="153" t="s">
        <v>271</v>
      </c>
      <c r="F394" s="153" t="s">
        <v>272</v>
      </c>
      <c r="G394" s="153"/>
      <c r="H394" s="141"/>
      <c r="I394" s="41" t="s">
        <v>515</v>
      </c>
      <c r="J394" s="42" t="s">
        <v>268</v>
      </c>
      <c r="K394" s="42" t="s">
        <v>269</v>
      </c>
      <c r="L394" s="42" t="s">
        <v>270</v>
      </c>
      <c r="M394" s="42" t="s">
        <v>271</v>
      </c>
      <c r="N394" s="43" t="s">
        <v>272</v>
      </c>
      <c r="O394" s="141"/>
      <c r="P394" s="41" t="s">
        <v>516</v>
      </c>
      <c r="Q394" s="42" t="s">
        <v>268</v>
      </c>
      <c r="R394" s="42" t="s">
        <v>269</v>
      </c>
      <c r="S394" s="42" t="s">
        <v>270</v>
      </c>
      <c r="T394" s="42" t="s">
        <v>271</v>
      </c>
      <c r="U394" s="43" t="s">
        <v>272</v>
      </c>
      <c r="V394" s="141"/>
    </row>
    <row r="395" spans="1:22">
      <c r="A395" s="156" t="s">
        <v>206</v>
      </c>
      <c r="B395" s="103">
        <f>(B388-$G388)/$G388</f>
        <v>0.42857142857142855</v>
      </c>
      <c r="C395" s="103">
        <f t="shared" ref="C395:F395" si="69">(C388-$G388)/$G388</f>
        <v>1.7142857142857142</v>
      </c>
      <c r="D395" s="103">
        <f t="shared" si="69"/>
        <v>1</v>
      </c>
      <c r="E395" s="103">
        <f t="shared" si="69"/>
        <v>0</v>
      </c>
      <c r="F395" s="103">
        <f t="shared" si="69"/>
        <v>0.7142857142857143</v>
      </c>
      <c r="G395" s="103"/>
      <c r="I395" s="44" t="s">
        <v>206</v>
      </c>
      <c r="J395" s="46">
        <v>0.42857142857142855</v>
      </c>
      <c r="K395" s="47">
        <v>1.7142857142857142</v>
      </c>
      <c r="L395" s="47">
        <v>1</v>
      </c>
      <c r="M395" s="47">
        <v>0</v>
      </c>
      <c r="N395" s="48">
        <v>0.7142857142857143</v>
      </c>
      <c r="P395" s="44" t="s">
        <v>206</v>
      </c>
      <c r="Q395" s="46" t="s">
        <v>519</v>
      </c>
      <c r="R395" s="47" t="s">
        <v>519</v>
      </c>
      <c r="S395" s="47">
        <v>13</v>
      </c>
      <c r="T395" s="47" t="s">
        <v>519</v>
      </c>
      <c r="U395" s="48">
        <v>11</v>
      </c>
    </row>
    <row r="396" spans="1:22">
      <c r="A396" s="156" t="s">
        <v>207</v>
      </c>
      <c r="B396" s="103" t="e">
        <f t="shared" ref="B396:F398" si="70">(B389-$G389)/$G389</f>
        <v>#DIV/0!</v>
      </c>
      <c r="C396" s="103" t="e">
        <f t="shared" si="70"/>
        <v>#DIV/0!</v>
      </c>
      <c r="D396" s="103" t="e">
        <f t="shared" si="70"/>
        <v>#DIV/0!</v>
      </c>
      <c r="E396" s="103" t="e">
        <f t="shared" si="70"/>
        <v>#DIV/0!</v>
      </c>
      <c r="F396" s="103" t="e">
        <f t="shared" si="70"/>
        <v>#DIV/0!</v>
      </c>
      <c r="G396" s="103"/>
      <c r="I396" s="44" t="s">
        <v>207</v>
      </c>
      <c r="J396" s="49" t="s">
        <v>519</v>
      </c>
      <c r="K396" s="50" t="s">
        <v>519</v>
      </c>
      <c r="L396" s="50" t="s">
        <v>519</v>
      </c>
      <c r="M396" s="50" t="s">
        <v>519</v>
      </c>
      <c r="N396" s="51" t="s">
        <v>519</v>
      </c>
      <c r="P396" s="44" t="s">
        <v>207</v>
      </c>
      <c r="Q396" s="49" t="s">
        <v>519</v>
      </c>
      <c r="R396" s="50" t="s">
        <v>519</v>
      </c>
      <c r="S396" s="50">
        <v>9</v>
      </c>
      <c r="T396" s="50" t="s">
        <v>519</v>
      </c>
      <c r="U396" s="51">
        <v>0</v>
      </c>
    </row>
    <row r="397" spans="1:22">
      <c r="A397" s="156" t="s">
        <v>208</v>
      </c>
      <c r="B397" s="103" t="e">
        <f t="shared" si="70"/>
        <v>#DIV/0!</v>
      </c>
      <c r="C397" s="103" t="e">
        <f t="shared" si="70"/>
        <v>#DIV/0!</v>
      </c>
      <c r="D397" s="103" t="e">
        <f t="shared" si="70"/>
        <v>#DIV/0!</v>
      </c>
      <c r="E397" s="103" t="e">
        <f t="shared" si="70"/>
        <v>#DIV/0!</v>
      </c>
      <c r="F397" s="103" t="e">
        <f t="shared" si="70"/>
        <v>#DIV/0!</v>
      </c>
      <c r="G397" s="103"/>
      <c r="I397" s="44" t="s">
        <v>208</v>
      </c>
      <c r="J397" s="49" t="s">
        <v>519</v>
      </c>
      <c r="K397" s="50" t="s">
        <v>519</v>
      </c>
      <c r="L397" s="50" t="s">
        <v>519</v>
      </c>
      <c r="M397" s="50" t="s">
        <v>519</v>
      </c>
      <c r="N397" s="51" t="s">
        <v>519</v>
      </c>
      <c r="P397" s="44" t="s">
        <v>208</v>
      </c>
      <c r="Q397" s="49" t="s">
        <v>519</v>
      </c>
      <c r="R397" s="50" t="s">
        <v>519</v>
      </c>
      <c r="S397" s="50">
        <v>0</v>
      </c>
      <c r="T397" s="50" t="s">
        <v>519</v>
      </c>
      <c r="U397" s="51">
        <v>0</v>
      </c>
    </row>
    <row r="398" spans="1:22">
      <c r="A398" s="156" t="s">
        <v>209</v>
      </c>
      <c r="B398" s="103" t="e">
        <f t="shared" si="70"/>
        <v>#DIV/0!</v>
      </c>
      <c r="C398" s="103" t="e">
        <f t="shared" si="70"/>
        <v>#DIV/0!</v>
      </c>
      <c r="D398" s="103" t="e">
        <f t="shared" si="70"/>
        <v>#DIV/0!</v>
      </c>
      <c r="E398" s="103" t="e">
        <f t="shared" si="70"/>
        <v>#DIV/0!</v>
      </c>
      <c r="F398" s="103" t="e">
        <f t="shared" si="70"/>
        <v>#DIV/0!</v>
      </c>
      <c r="G398" s="103"/>
      <c r="I398" s="45" t="s">
        <v>209</v>
      </c>
      <c r="J398" s="52" t="s">
        <v>519</v>
      </c>
      <c r="K398" s="53" t="s">
        <v>519</v>
      </c>
      <c r="L398" s="53" t="s">
        <v>519</v>
      </c>
      <c r="M398" s="53" t="s">
        <v>519</v>
      </c>
      <c r="N398" s="54" t="s">
        <v>519</v>
      </c>
      <c r="P398" s="45" t="s">
        <v>209</v>
      </c>
      <c r="Q398" s="52" t="s">
        <v>519</v>
      </c>
      <c r="R398" s="53" t="s">
        <v>519</v>
      </c>
      <c r="S398" s="53">
        <v>1</v>
      </c>
      <c r="T398" s="53" t="s">
        <v>519</v>
      </c>
      <c r="U398" s="54">
        <v>2</v>
      </c>
    </row>
    <row r="399" spans="1:22">
      <c r="A399" s="156"/>
      <c r="B399" s="103"/>
      <c r="C399" s="103"/>
      <c r="D399" s="103"/>
      <c r="E399" s="103"/>
      <c r="F399" s="103"/>
      <c r="G399" s="103"/>
    </row>
    <row r="400" spans="1:22" s="34" customFormat="1">
      <c r="A400" s="156" t="s">
        <v>416</v>
      </c>
      <c r="B400" s="153" t="s">
        <v>268</v>
      </c>
      <c r="C400" s="153" t="s">
        <v>269</v>
      </c>
      <c r="D400" s="153" t="s">
        <v>270</v>
      </c>
      <c r="E400" s="153" t="s">
        <v>271</v>
      </c>
      <c r="F400" s="153" t="s">
        <v>272</v>
      </c>
      <c r="G400" s="153"/>
      <c r="H400" s="141"/>
      <c r="I400" s="41" t="s">
        <v>517</v>
      </c>
      <c r="J400" s="42" t="s">
        <v>268</v>
      </c>
      <c r="K400" s="42" t="s">
        <v>269</v>
      </c>
      <c r="L400" s="42" t="s">
        <v>270</v>
      </c>
      <c r="M400" s="42" t="s">
        <v>271</v>
      </c>
      <c r="N400" s="43" t="s">
        <v>272</v>
      </c>
      <c r="O400" s="141"/>
      <c r="P400" s="41" t="s">
        <v>518</v>
      </c>
      <c r="Q400" s="42" t="s">
        <v>268</v>
      </c>
      <c r="R400" s="42" t="s">
        <v>269</v>
      </c>
      <c r="S400" s="42" t="s">
        <v>270</v>
      </c>
      <c r="T400" s="42" t="s">
        <v>271</v>
      </c>
      <c r="U400" s="43" t="s">
        <v>272</v>
      </c>
      <c r="V400" s="141"/>
    </row>
    <row r="401" spans="1:22">
      <c r="A401" s="156" t="s">
        <v>206</v>
      </c>
      <c r="B401" s="103" t="e">
        <f>(B388-B$392)/B$392</f>
        <v>#DIV/0!</v>
      </c>
      <c r="C401" s="103" t="e">
        <f t="shared" ref="C401:F401" si="71">(C388-C$392)/C$392</f>
        <v>#DIV/0!</v>
      </c>
      <c r="D401" s="103">
        <f t="shared" si="71"/>
        <v>13</v>
      </c>
      <c r="E401" s="103" t="e">
        <f t="shared" si="71"/>
        <v>#DIV/0!</v>
      </c>
      <c r="F401" s="103">
        <f t="shared" si="71"/>
        <v>11</v>
      </c>
      <c r="G401" s="103"/>
      <c r="I401" s="44" t="s">
        <v>206</v>
      </c>
      <c r="J401" s="46">
        <v>1.8571428571428572</v>
      </c>
      <c r="K401" s="47">
        <v>4.4285714285714288</v>
      </c>
      <c r="L401" s="47">
        <v>2.5</v>
      </c>
      <c r="M401" s="47">
        <v>1</v>
      </c>
      <c r="N401" s="48">
        <v>2</v>
      </c>
      <c r="P401" s="44" t="s">
        <v>206</v>
      </c>
      <c r="Q401" s="46" t="s">
        <v>519</v>
      </c>
      <c r="R401" s="47" t="s">
        <v>519</v>
      </c>
      <c r="S401" s="47" t="s">
        <v>519</v>
      </c>
      <c r="T401" s="47" t="s">
        <v>519</v>
      </c>
      <c r="U401" s="48" t="s">
        <v>519</v>
      </c>
    </row>
    <row r="402" spans="1:22">
      <c r="A402" s="156" t="s">
        <v>276</v>
      </c>
      <c r="B402" s="103" t="e">
        <f t="shared" ref="B402:F404" si="72">(B389-B$392)/B$392</f>
        <v>#DIV/0!</v>
      </c>
      <c r="C402" s="103" t="e">
        <f t="shared" si="72"/>
        <v>#DIV/0!</v>
      </c>
      <c r="D402" s="103">
        <f t="shared" si="72"/>
        <v>9</v>
      </c>
      <c r="E402" s="103" t="e">
        <f t="shared" si="72"/>
        <v>#DIV/0!</v>
      </c>
      <c r="F402" s="103">
        <f t="shared" si="72"/>
        <v>0</v>
      </c>
      <c r="G402" s="103"/>
      <c r="I402" s="44" t="s">
        <v>207</v>
      </c>
      <c r="J402" s="49" t="s">
        <v>519</v>
      </c>
      <c r="K402" s="50" t="s">
        <v>519</v>
      </c>
      <c r="L402" s="50">
        <v>19</v>
      </c>
      <c r="M402" s="50" t="s">
        <v>519</v>
      </c>
      <c r="N402" s="51">
        <v>1</v>
      </c>
      <c r="P402" s="44" t="s">
        <v>207</v>
      </c>
      <c r="Q402" s="49" t="s">
        <v>519</v>
      </c>
      <c r="R402" s="50" t="s">
        <v>519</v>
      </c>
      <c r="S402" s="50" t="s">
        <v>519</v>
      </c>
      <c r="T402" s="50" t="s">
        <v>519</v>
      </c>
      <c r="U402" s="51" t="s">
        <v>519</v>
      </c>
    </row>
    <row r="403" spans="1:22">
      <c r="A403" s="156" t="s">
        <v>208</v>
      </c>
      <c r="B403" s="103" t="e">
        <f t="shared" si="72"/>
        <v>#DIV/0!</v>
      </c>
      <c r="C403" s="103" t="e">
        <f t="shared" si="72"/>
        <v>#DIV/0!</v>
      </c>
      <c r="D403" s="103">
        <f t="shared" si="72"/>
        <v>0</v>
      </c>
      <c r="E403" s="103" t="e">
        <f t="shared" si="72"/>
        <v>#DIV/0!</v>
      </c>
      <c r="F403" s="103">
        <f t="shared" si="72"/>
        <v>0</v>
      </c>
      <c r="G403" s="103"/>
      <c r="I403" s="44" t="s">
        <v>208</v>
      </c>
      <c r="J403" s="49" t="s">
        <v>519</v>
      </c>
      <c r="K403" s="50" t="s">
        <v>519</v>
      </c>
      <c r="L403" s="50">
        <v>1</v>
      </c>
      <c r="M403" s="50" t="s">
        <v>519</v>
      </c>
      <c r="N403" s="51">
        <v>1</v>
      </c>
      <c r="P403" s="44" t="s">
        <v>208</v>
      </c>
      <c r="Q403" s="49" t="s">
        <v>519</v>
      </c>
      <c r="R403" s="50" t="s">
        <v>519</v>
      </c>
      <c r="S403" s="50" t="s">
        <v>519</v>
      </c>
      <c r="T403" s="50" t="s">
        <v>519</v>
      </c>
      <c r="U403" s="51" t="s">
        <v>519</v>
      </c>
    </row>
    <row r="404" spans="1:22">
      <c r="A404" s="156" t="s">
        <v>209</v>
      </c>
      <c r="B404" s="103" t="e">
        <f t="shared" si="72"/>
        <v>#DIV/0!</v>
      </c>
      <c r="C404" s="103" t="e">
        <f t="shared" si="72"/>
        <v>#DIV/0!</v>
      </c>
      <c r="D404" s="103">
        <f t="shared" si="72"/>
        <v>1</v>
      </c>
      <c r="E404" s="103" t="e">
        <f t="shared" si="72"/>
        <v>#DIV/0!</v>
      </c>
      <c r="F404" s="103">
        <f t="shared" si="72"/>
        <v>2</v>
      </c>
      <c r="G404" s="103"/>
      <c r="I404" s="45" t="s">
        <v>209</v>
      </c>
      <c r="J404" s="52" t="s">
        <v>519</v>
      </c>
      <c r="K404" s="53" t="s">
        <v>519</v>
      </c>
      <c r="L404" s="53">
        <v>3</v>
      </c>
      <c r="M404" s="53" t="s">
        <v>519</v>
      </c>
      <c r="N404" s="54">
        <v>5</v>
      </c>
      <c r="P404" s="45" t="s">
        <v>209</v>
      </c>
      <c r="Q404" s="52" t="s">
        <v>519</v>
      </c>
      <c r="R404" s="53" t="s">
        <v>519</v>
      </c>
      <c r="S404" s="53" t="s">
        <v>519</v>
      </c>
      <c r="T404" s="53" t="s">
        <v>519</v>
      </c>
      <c r="U404" s="54" t="s">
        <v>519</v>
      </c>
    </row>
    <row r="405" spans="1:22">
      <c r="A405" s="156"/>
      <c r="B405" s="103"/>
      <c r="C405" s="103"/>
      <c r="D405" s="103"/>
      <c r="E405" s="103"/>
      <c r="F405" s="103"/>
      <c r="G405" s="103"/>
    </row>
    <row r="406" spans="1:22" s="34" customFormat="1">
      <c r="A406" s="156" t="s">
        <v>417</v>
      </c>
      <c r="B406" s="153" t="s">
        <v>268</v>
      </c>
      <c r="C406" s="153" t="s">
        <v>269</v>
      </c>
      <c r="D406" s="153" t="s">
        <v>270</v>
      </c>
      <c r="E406" s="153" t="s">
        <v>271</v>
      </c>
      <c r="F406" s="153" t="s">
        <v>272</v>
      </c>
      <c r="G406" s="153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</row>
    <row r="407" spans="1:22">
      <c r="A407" s="156" t="s">
        <v>206</v>
      </c>
      <c r="B407" s="103">
        <f>(2*B388-$G388-B$392)/($G388+B$392)</f>
        <v>1.8571428571428572</v>
      </c>
      <c r="C407" s="103">
        <f t="shared" ref="B407:F410" si="73">(2*C388-$G388-C$392)/($G388+C$392)</f>
        <v>4.4285714285714288</v>
      </c>
      <c r="D407" s="103">
        <f t="shared" si="73"/>
        <v>2.5</v>
      </c>
      <c r="E407" s="103">
        <f t="shared" si="73"/>
        <v>1</v>
      </c>
      <c r="F407" s="103">
        <f t="shared" si="73"/>
        <v>2</v>
      </c>
      <c r="G407" s="103"/>
    </row>
    <row r="408" spans="1:22">
      <c r="A408" s="156" t="s">
        <v>276</v>
      </c>
      <c r="B408" s="103" t="e">
        <f t="shared" si="73"/>
        <v>#DIV/0!</v>
      </c>
      <c r="C408" s="103" t="e">
        <f t="shared" si="73"/>
        <v>#DIV/0!</v>
      </c>
      <c r="D408" s="103">
        <f t="shared" si="73"/>
        <v>19</v>
      </c>
      <c r="E408" s="103" t="e">
        <f t="shared" si="73"/>
        <v>#DIV/0!</v>
      </c>
      <c r="F408" s="103">
        <f t="shared" si="73"/>
        <v>1</v>
      </c>
      <c r="G408" s="103"/>
    </row>
    <row r="409" spans="1:22">
      <c r="A409" s="156" t="s">
        <v>208</v>
      </c>
      <c r="B409" s="103" t="e">
        <f t="shared" si="73"/>
        <v>#DIV/0!</v>
      </c>
      <c r="C409" s="103" t="e">
        <f t="shared" si="73"/>
        <v>#DIV/0!</v>
      </c>
      <c r="D409" s="103">
        <f t="shared" si="73"/>
        <v>1</v>
      </c>
      <c r="E409" s="103" t="e">
        <f t="shared" si="73"/>
        <v>#DIV/0!</v>
      </c>
      <c r="F409" s="103">
        <f t="shared" si="73"/>
        <v>1</v>
      </c>
      <c r="G409" s="103"/>
    </row>
    <row r="410" spans="1:22">
      <c r="A410" s="156" t="s">
        <v>209</v>
      </c>
      <c r="B410" s="103" t="e">
        <f>(2*B391-$G391-B$392)/($G391+B$392)</f>
        <v>#DIV/0!</v>
      </c>
      <c r="C410" s="103" t="e">
        <f t="shared" si="73"/>
        <v>#DIV/0!</v>
      </c>
      <c r="D410" s="103">
        <f t="shared" si="73"/>
        <v>3</v>
      </c>
      <c r="E410" s="103" t="e">
        <f>(2*E391-$G391-E$392)/($G391+E$392)</f>
        <v>#DIV/0!</v>
      </c>
      <c r="F410" s="103">
        <f>(2*F391-$G391-F$392)/($G391+F$392)</f>
        <v>5</v>
      </c>
      <c r="G410" s="103"/>
    </row>
    <row r="411" spans="1:22">
      <c r="A411" s="156"/>
      <c r="B411" s="103"/>
      <c r="C411" s="103"/>
      <c r="D411" s="103"/>
      <c r="E411" s="103"/>
      <c r="F411" s="103"/>
      <c r="G411" s="103"/>
    </row>
    <row r="412" spans="1:22" s="34" customFormat="1">
      <c r="A412" s="156" t="s">
        <v>418</v>
      </c>
      <c r="B412" s="153" t="s">
        <v>268</v>
      </c>
      <c r="C412" s="153" t="s">
        <v>269</v>
      </c>
      <c r="D412" s="153" t="s">
        <v>270</v>
      </c>
      <c r="E412" s="153" t="s">
        <v>271</v>
      </c>
      <c r="F412" s="153" t="s">
        <v>272</v>
      </c>
      <c r="G412" s="153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</row>
    <row r="413" spans="1:22">
      <c r="A413" s="156" t="s">
        <v>206</v>
      </c>
      <c r="B413" s="103" t="e">
        <f>(B388-$G$392)/$G$392</f>
        <v>#DIV/0!</v>
      </c>
      <c r="C413" s="103" t="e">
        <f t="shared" ref="C413:F413" si="74">(C388-$G$392)/$G$392</f>
        <v>#DIV/0!</v>
      </c>
      <c r="D413" s="103" t="e">
        <f t="shared" si="74"/>
        <v>#DIV/0!</v>
      </c>
      <c r="E413" s="103" t="e">
        <f t="shared" si="74"/>
        <v>#DIV/0!</v>
      </c>
      <c r="F413" s="103" t="e">
        <f t="shared" si="74"/>
        <v>#DIV/0!</v>
      </c>
      <c r="G413" s="103"/>
    </row>
    <row r="414" spans="1:22">
      <c r="A414" s="156" t="s">
        <v>207</v>
      </c>
      <c r="B414" s="103" t="e">
        <f>(B389-$G$392)/$G$392</f>
        <v>#DIV/0!</v>
      </c>
      <c r="C414" s="103" t="e">
        <f t="shared" ref="C414:F416" si="75">(C389-$G$392)/$G$392</f>
        <v>#DIV/0!</v>
      </c>
      <c r="D414" s="103" t="e">
        <f t="shared" si="75"/>
        <v>#DIV/0!</v>
      </c>
      <c r="E414" s="103" t="e">
        <f t="shared" si="75"/>
        <v>#DIV/0!</v>
      </c>
      <c r="F414" s="103" t="e">
        <f t="shared" si="75"/>
        <v>#DIV/0!</v>
      </c>
      <c r="G414" s="103"/>
    </row>
    <row r="415" spans="1:22">
      <c r="A415" s="156" t="s">
        <v>208</v>
      </c>
      <c r="B415" s="103" t="e">
        <f>(B390-$G$392)/$G$392</f>
        <v>#DIV/0!</v>
      </c>
      <c r="C415" s="103" t="e">
        <f t="shared" si="75"/>
        <v>#DIV/0!</v>
      </c>
      <c r="D415" s="103" t="e">
        <f t="shared" si="75"/>
        <v>#DIV/0!</v>
      </c>
      <c r="E415" s="103" t="e">
        <f t="shared" si="75"/>
        <v>#DIV/0!</v>
      </c>
      <c r="F415" s="103" t="e">
        <f t="shared" si="75"/>
        <v>#DIV/0!</v>
      </c>
      <c r="G415" s="103"/>
    </row>
    <row r="416" spans="1:22">
      <c r="A416" s="156" t="s">
        <v>209</v>
      </c>
      <c r="B416" s="103" t="e">
        <f>(B391-$G$392)/$G$392</f>
        <v>#DIV/0!</v>
      </c>
      <c r="C416" s="103" t="e">
        <f t="shared" si="75"/>
        <v>#DIV/0!</v>
      </c>
      <c r="D416" s="103" t="e">
        <f t="shared" si="75"/>
        <v>#DIV/0!</v>
      </c>
      <c r="E416" s="103" t="e">
        <f t="shared" si="75"/>
        <v>#DIV/0!</v>
      </c>
      <c r="F416" s="103" t="e">
        <f t="shared" si="75"/>
        <v>#DIV/0!</v>
      </c>
      <c r="G416" s="103"/>
    </row>
    <row r="417" spans="1:22">
      <c r="A417" s="101"/>
      <c r="B417" s="103"/>
      <c r="C417" s="103"/>
      <c r="D417" s="103"/>
      <c r="E417" s="103"/>
      <c r="F417" s="103"/>
      <c r="G417" s="103"/>
    </row>
    <row r="419" spans="1:22">
      <c r="A419" s="151" t="s">
        <v>419</v>
      </c>
      <c r="B419" s="103"/>
      <c r="C419" s="103"/>
      <c r="D419" s="103"/>
      <c r="E419" s="103"/>
      <c r="F419" s="103"/>
      <c r="G419" s="103"/>
    </row>
    <row r="420" spans="1:22">
      <c r="B420" s="103"/>
      <c r="C420" s="103"/>
      <c r="D420" s="103"/>
      <c r="E420" s="103"/>
      <c r="F420" s="103"/>
      <c r="G420" s="103"/>
    </row>
    <row r="421" spans="1:22">
      <c r="A421" s="152" t="s">
        <v>420</v>
      </c>
      <c r="B421" s="103"/>
      <c r="C421" s="103"/>
      <c r="D421" s="103"/>
      <c r="E421" s="103"/>
      <c r="F421" s="103"/>
      <c r="G421" s="103"/>
    </row>
    <row r="422" spans="1:22">
      <c r="A422" s="140"/>
      <c r="B422" s="103"/>
      <c r="C422" s="103"/>
      <c r="D422" s="103"/>
      <c r="E422" s="103"/>
      <c r="F422" s="103"/>
      <c r="G422" s="103"/>
    </row>
    <row r="423" spans="1:22" s="34" customFormat="1">
      <c r="A423" s="331" t="s">
        <v>369</v>
      </c>
      <c r="B423" s="341" t="s">
        <v>268</v>
      </c>
      <c r="C423" s="341" t="s">
        <v>269</v>
      </c>
      <c r="D423" s="341" t="s">
        <v>270</v>
      </c>
      <c r="E423" s="341" t="s">
        <v>271</v>
      </c>
      <c r="F423" s="342" t="s">
        <v>272</v>
      </c>
      <c r="G423" s="153" t="s">
        <v>232</v>
      </c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</row>
    <row r="424" spans="1:22">
      <c r="A424" s="174" t="s">
        <v>206</v>
      </c>
      <c r="B424" s="88">
        <v>10</v>
      </c>
      <c r="C424" s="89">
        <v>19</v>
      </c>
      <c r="D424" s="89">
        <v>14</v>
      </c>
      <c r="E424" s="89">
        <v>7</v>
      </c>
      <c r="F424" s="90">
        <v>12</v>
      </c>
      <c r="G424" s="160">
        <f>MAX(B424:F424)</f>
        <v>19</v>
      </c>
    </row>
    <row r="425" spans="1:22">
      <c r="A425" s="174" t="s">
        <v>207</v>
      </c>
      <c r="B425" s="92">
        <v>11</v>
      </c>
      <c r="C425" s="93">
        <v>7</v>
      </c>
      <c r="D425" s="93">
        <v>10</v>
      </c>
      <c r="E425" s="93">
        <v>0</v>
      </c>
      <c r="F425" s="94">
        <v>1</v>
      </c>
      <c r="G425" s="160">
        <f t="shared" ref="G425:G427" si="76">MAX(B425:F425)</f>
        <v>11</v>
      </c>
    </row>
    <row r="426" spans="1:22">
      <c r="A426" s="174" t="s">
        <v>208</v>
      </c>
      <c r="B426" s="92">
        <v>0</v>
      </c>
      <c r="C426" s="93">
        <v>0</v>
      </c>
      <c r="D426" s="93">
        <v>1</v>
      </c>
      <c r="E426" s="93">
        <v>12</v>
      </c>
      <c r="F426" s="94">
        <v>1</v>
      </c>
      <c r="G426" s="160">
        <f t="shared" si="76"/>
        <v>12</v>
      </c>
    </row>
    <row r="427" spans="1:22">
      <c r="A427" s="175" t="s">
        <v>209</v>
      </c>
      <c r="B427" s="95">
        <v>0</v>
      </c>
      <c r="C427" s="96">
        <v>1</v>
      </c>
      <c r="D427" s="96">
        <v>2</v>
      </c>
      <c r="E427" s="96">
        <v>3</v>
      </c>
      <c r="F427" s="97">
        <v>3</v>
      </c>
      <c r="G427" s="160">
        <f t="shared" si="76"/>
        <v>3</v>
      </c>
    </row>
    <row r="428" spans="1:22">
      <c r="A428" s="140" t="s">
        <v>421</v>
      </c>
      <c r="B428" s="160">
        <f>MAX(B424:B427)</f>
        <v>11</v>
      </c>
      <c r="C428" s="160">
        <f t="shared" ref="C428:F428" si="77">MAX(C424:C427)</f>
        <v>19</v>
      </c>
      <c r="D428" s="160">
        <f t="shared" si="77"/>
        <v>14</v>
      </c>
      <c r="E428" s="160">
        <f t="shared" si="77"/>
        <v>12</v>
      </c>
      <c r="F428" s="160">
        <f t="shared" si="77"/>
        <v>12</v>
      </c>
      <c r="G428" s="161">
        <f>MAX(B424:F427)</f>
        <v>19</v>
      </c>
    </row>
    <row r="429" spans="1:22">
      <c r="A429" s="140"/>
      <c r="B429" s="103"/>
      <c r="C429" s="103"/>
      <c r="D429" s="103"/>
      <c r="E429" s="103"/>
      <c r="F429" s="103"/>
      <c r="G429" s="103"/>
    </row>
    <row r="430" spans="1:22" s="34" customFormat="1">
      <c r="A430" s="156" t="s">
        <v>422</v>
      </c>
      <c r="B430" s="153" t="s">
        <v>268</v>
      </c>
      <c r="C430" s="153" t="s">
        <v>269</v>
      </c>
      <c r="D430" s="153" t="s">
        <v>270</v>
      </c>
      <c r="E430" s="153" t="s">
        <v>271</v>
      </c>
      <c r="F430" s="153" t="s">
        <v>272</v>
      </c>
      <c r="G430" s="153"/>
      <c r="H430" s="141"/>
      <c r="I430" s="41" t="s">
        <v>520</v>
      </c>
      <c r="J430" s="172" t="s">
        <v>268</v>
      </c>
      <c r="K430" s="172" t="s">
        <v>269</v>
      </c>
      <c r="L430" s="172" t="s">
        <v>270</v>
      </c>
      <c r="M430" s="172" t="s">
        <v>271</v>
      </c>
      <c r="N430" s="173" t="s">
        <v>272</v>
      </c>
      <c r="O430" s="141"/>
      <c r="P430" s="41" t="s">
        <v>521</v>
      </c>
      <c r="Q430" s="172" t="s">
        <v>268</v>
      </c>
      <c r="R430" s="172" t="s">
        <v>269</v>
      </c>
      <c r="S430" s="172" t="s">
        <v>270</v>
      </c>
      <c r="T430" s="172" t="s">
        <v>271</v>
      </c>
      <c r="U430" s="173" t="s">
        <v>272</v>
      </c>
      <c r="V430" s="141"/>
    </row>
    <row r="431" spans="1:22">
      <c r="A431" s="156" t="s">
        <v>206</v>
      </c>
      <c r="B431" s="103">
        <f t="shared" ref="B431:F434" si="78">B424-$G424</f>
        <v>-9</v>
      </c>
      <c r="C431" s="103">
        <f t="shared" si="78"/>
        <v>0</v>
      </c>
      <c r="D431" s="103">
        <f t="shared" si="78"/>
        <v>-5</v>
      </c>
      <c r="E431" s="103">
        <f t="shared" si="78"/>
        <v>-12</v>
      </c>
      <c r="F431" s="103">
        <f t="shared" si="78"/>
        <v>-7</v>
      </c>
      <c r="G431" s="103"/>
      <c r="I431" s="174" t="s">
        <v>206</v>
      </c>
      <c r="J431" s="119">
        <v>-9</v>
      </c>
      <c r="K431" s="120">
        <v>0</v>
      </c>
      <c r="L431" s="120">
        <v>-5</v>
      </c>
      <c r="M431" s="120">
        <v>-12</v>
      </c>
      <c r="N431" s="121">
        <v>-7</v>
      </c>
      <c r="P431" s="174" t="s">
        <v>206</v>
      </c>
      <c r="Q431" s="119">
        <v>-1</v>
      </c>
      <c r="R431" s="120">
        <v>0</v>
      </c>
      <c r="S431" s="120">
        <v>0</v>
      </c>
      <c r="T431" s="120">
        <v>-5</v>
      </c>
      <c r="U431" s="121">
        <v>0</v>
      </c>
    </row>
    <row r="432" spans="1:22">
      <c r="A432" s="156" t="s">
        <v>207</v>
      </c>
      <c r="B432" s="103">
        <f t="shared" si="78"/>
        <v>0</v>
      </c>
      <c r="C432" s="103">
        <f t="shared" si="78"/>
        <v>-4</v>
      </c>
      <c r="D432" s="103">
        <f t="shared" si="78"/>
        <v>-1</v>
      </c>
      <c r="E432" s="103">
        <f t="shared" si="78"/>
        <v>-11</v>
      </c>
      <c r="F432" s="103">
        <f t="shared" si="78"/>
        <v>-10</v>
      </c>
      <c r="G432" s="103"/>
      <c r="I432" s="174" t="s">
        <v>207</v>
      </c>
      <c r="J432" s="124">
        <v>0</v>
      </c>
      <c r="K432" s="125">
        <v>-4</v>
      </c>
      <c r="L432" s="125">
        <v>-1</v>
      </c>
      <c r="M432" s="125">
        <v>-11</v>
      </c>
      <c r="N432" s="126">
        <v>-10</v>
      </c>
      <c r="P432" s="174" t="s">
        <v>207</v>
      </c>
      <c r="Q432" s="124">
        <v>0</v>
      </c>
      <c r="R432" s="125">
        <v>-12</v>
      </c>
      <c r="S432" s="125">
        <v>-4</v>
      </c>
      <c r="T432" s="125">
        <v>-12</v>
      </c>
      <c r="U432" s="126">
        <v>-11</v>
      </c>
    </row>
    <row r="433" spans="1:22">
      <c r="A433" s="156" t="s">
        <v>208</v>
      </c>
      <c r="B433" s="103">
        <f t="shared" si="78"/>
        <v>-12</v>
      </c>
      <c r="C433" s="103">
        <f t="shared" si="78"/>
        <v>-12</v>
      </c>
      <c r="D433" s="103">
        <f t="shared" si="78"/>
        <v>-11</v>
      </c>
      <c r="E433" s="103">
        <f t="shared" si="78"/>
        <v>0</v>
      </c>
      <c r="F433" s="103">
        <f t="shared" si="78"/>
        <v>-11</v>
      </c>
      <c r="G433" s="103"/>
      <c r="I433" s="174" t="s">
        <v>208</v>
      </c>
      <c r="J433" s="124">
        <v>-12</v>
      </c>
      <c r="K433" s="125">
        <v>-12</v>
      </c>
      <c r="L433" s="125">
        <v>-11</v>
      </c>
      <c r="M433" s="125">
        <v>0</v>
      </c>
      <c r="N433" s="126">
        <v>-11</v>
      </c>
      <c r="P433" s="174" t="s">
        <v>208</v>
      </c>
      <c r="Q433" s="124">
        <v>-11</v>
      </c>
      <c r="R433" s="125">
        <v>-19</v>
      </c>
      <c r="S433" s="125">
        <v>-13</v>
      </c>
      <c r="T433" s="125">
        <v>0</v>
      </c>
      <c r="U433" s="126">
        <v>-11</v>
      </c>
    </row>
    <row r="434" spans="1:22">
      <c r="A434" s="156" t="s">
        <v>209</v>
      </c>
      <c r="B434" s="103">
        <f t="shared" si="78"/>
        <v>-3</v>
      </c>
      <c r="C434" s="103">
        <f t="shared" si="78"/>
        <v>-2</v>
      </c>
      <c r="D434" s="103">
        <f t="shared" si="78"/>
        <v>-1</v>
      </c>
      <c r="E434" s="103">
        <f t="shared" si="78"/>
        <v>0</v>
      </c>
      <c r="F434" s="103">
        <f t="shared" si="78"/>
        <v>0</v>
      </c>
      <c r="G434" s="103"/>
      <c r="I434" s="175" t="s">
        <v>209</v>
      </c>
      <c r="J434" s="132">
        <v>-3</v>
      </c>
      <c r="K434" s="133">
        <v>-2</v>
      </c>
      <c r="L434" s="133">
        <v>-1</v>
      </c>
      <c r="M434" s="133">
        <v>0</v>
      </c>
      <c r="N434" s="134">
        <v>0</v>
      </c>
      <c r="P434" s="175" t="s">
        <v>209</v>
      </c>
      <c r="Q434" s="132">
        <v>-11</v>
      </c>
      <c r="R434" s="133">
        <v>-18</v>
      </c>
      <c r="S434" s="133">
        <v>-12</v>
      </c>
      <c r="T434" s="133">
        <v>-9</v>
      </c>
      <c r="U434" s="134">
        <v>-9</v>
      </c>
    </row>
    <row r="435" spans="1:22">
      <c r="A435" s="156"/>
      <c r="B435" s="103"/>
      <c r="C435" s="103"/>
      <c r="D435" s="103"/>
      <c r="E435" s="103"/>
      <c r="F435" s="103"/>
      <c r="G435" s="103"/>
    </row>
    <row r="436" spans="1:22" s="34" customFormat="1">
      <c r="A436" s="156" t="s">
        <v>423</v>
      </c>
      <c r="B436" s="153" t="s">
        <v>268</v>
      </c>
      <c r="C436" s="153" t="s">
        <v>269</v>
      </c>
      <c r="D436" s="153" t="s">
        <v>270</v>
      </c>
      <c r="E436" s="153" t="s">
        <v>271</v>
      </c>
      <c r="F436" s="153" t="s">
        <v>272</v>
      </c>
      <c r="G436" s="153"/>
      <c r="H436" s="141"/>
      <c r="I436" s="41" t="s">
        <v>522</v>
      </c>
      <c r="J436" s="172" t="s">
        <v>268</v>
      </c>
      <c r="K436" s="172" t="s">
        <v>269</v>
      </c>
      <c r="L436" s="172" t="s">
        <v>270</v>
      </c>
      <c r="M436" s="172" t="s">
        <v>271</v>
      </c>
      <c r="N436" s="173" t="s">
        <v>272</v>
      </c>
      <c r="O436" s="141"/>
      <c r="P436" s="41" t="s">
        <v>523</v>
      </c>
      <c r="Q436" s="172" t="s">
        <v>268</v>
      </c>
      <c r="R436" s="172" t="s">
        <v>269</v>
      </c>
      <c r="S436" s="172" t="s">
        <v>270</v>
      </c>
      <c r="T436" s="172" t="s">
        <v>271</v>
      </c>
      <c r="U436" s="173" t="s">
        <v>272</v>
      </c>
      <c r="V436" s="141"/>
    </row>
    <row r="437" spans="1:22">
      <c r="A437" s="156" t="s">
        <v>206</v>
      </c>
      <c r="B437" s="103">
        <f t="shared" ref="B437:F440" si="79">B424-B$428</f>
        <v>-1</v>
      </c>
      <c r="C437" s="103">
        <f t="shared" si="79"/>
        <v>0</v>
      </c>
      <c r="D437" s="103">
        <f t="shared" si="79"/>
        <v>0</v>
      </c>
      <c r="E437" s="103">
        <f t="shared" si="79"/>
        <v>-5</v>
      </c>
      <c r="F437" s="103">
        <f t="shared" si="79"/>
        <v>0</v>
      </c>
      <c r="G437" s="103"/>
      <c r="I437" s="174" t="s">
        <v>206</v>
      </c>
      <c r="J437" s="119">
        <v>-5</v>
      </c>
      <c r="K437" s="120">
        <v>0</v>
      </c>
      <c r="L437" s="120">
        <v>-2.5</v>
      </c>
      <c r="M437" s="120">
        <v>-8.5</v>
      </c>
      <c r="N437" s="121">
        <v>-3.5</v>
      </c>
      <c r="P437" s="174" t="s">
        <v>206</v>
      </c>
      <c r="Q437" s="119">
        <v>-9</v>
      </c>
      <c r="R437" s="120">
        <v>0</v>
      </c>
      <c r="S437" s="120">
        <v>-5</v>
      </c>
      <c r="T437" s="120">
        <v>-12</v>
      </c>
      <c r="U437" s="121">
        <v>-7</v>
      </c>
    </row>
    <row r="438" spans="1:22">
      <c r="A438" s="156" t="s">
        <v>207</v>
      </c>
      <c r="B438" s="103">
        <f t="shared" si="79"/>
        <v>0</v>
      </c>
      <c r="C438" s="103">
        <f t="shared" si="79"/>
        <v>-12</v>
      </c>
      <c r="D438" s="103">
        <f t="shared" si="79"/>
        <v>-4</v>
      </c>
      <c r="E438" s="103">
        <f t="shared" si="79"/>
        <v>-12</v>
      </c>
      <c r="F438" s="103">
        <f t="shared" si="79"/>
        <v>-11</v>
      </c>
      <c r="G438" s="103"/>
      <c r="I438" s="174" t="s">
        <v>207</v>
      </c>
      <c r="J438" s="124">
        <v>0</v>
      </c>
      <c r="K438" s="125">
        <v>-8</v>
      </c>
      <c r="L438" s="125">
        <v>-2.5</v>
      </c>
      <c r="M438" s="125">
        <v>-11.5</v>
      </c>
      <c r="N438" s="126">
        <v>-10.5</v>
      </c>
      <c r="P438" s="174" t="s">
        <v>207</v>
      </c>
      <c r="Q438" s="124">
        <v>-8</v>
      </c>
      <c r="R438" s="125">
        <v>-12</v>
      </c>
      <c r="S438" s="125">
        <v>-9</v>
      </c>
      <c r="T438" s="125">
        <v>-19</v>
      </c>
      <c r="U438" s="126">
        <v>-18</v>
      </c>
    </row>
    <row r="439" spans="1:22">
      <c r="A439" s="156" t="s">
        <v>208</v>
      </c>
      <c r="B439" s="103">
        <f t="shared" si="79"/>
        <v>-11</v>
      </c>
      <c r="C439" s="103">
        <f t="shared" si="79"/>
        <v>-19</v>
      </c>
      <c r="D439" s="103">
        <f t="shared" si="79"/>
        <v>-13</v>
      </c>
      <c r="E439" s="103">
        <f t="shared" si="79"/>
        <v>0</v>
      </c>
      <c r="F439" s="103">
        <f t="shared" si="79"/>
        <v>-11</v>
      </c>
      <c r="G439" s="103"/>
      <c r="I439" s="174" t="s">
        <v>208</v>
      </c>
      <c r="J439" s="124">
        <v>-11.5</v>
      </c>
      <c r="K439" s="125">
        <v>-15.5</v>
      </c>
      <c r="L439" s="125">
        <v>-12</v>
      </c>
      <c r="M439" s="125">
        <v>0</v>
      </c>
      <c r="N439" s="126">
        <v>-11</v>
      </c>
      <c r="P439" s="174" t="s">
        <v>208</v>
      </c>
      <c r="Q439" s="124">
        <v>-19</v>
      </c>
      <c r="R439" s="125">
        <v>-19</v>
      </c>
      <c r="S439" s="125">
        <v>-18</v>
      </c>
      <c r="T439" s="125">
        <v>-7</v>
      </c>
      <c r="U439" s="126">
        <v>-18</v>
      </c>
    </row>
    <row r="440" spans="1:22">
      <c r="A440" s="156" t="s">
        <v>209</v>
      </c>
      <c r="B440" s="103">
        <f t="shared" si="79"/>
        <v>-11</v>
      </c>
      <c r="C440" s="103">
        <f t="shared" si="79"/>
        <v>-18</v>
      </c>
      <c r="D440" s="103">
        <f t="shared" si="79"/>
        <v>-12</v>
      </c>
      <c r="E440" s="103">
        <f t="shared" si="79"/>
        <v>-9</v>
      </c>
      <c r="F440" s="103">
        <f t="shared" si="79"/>
        <v>-9</v>
      </c>
      <c r="G440" s="103"/>
      <c r="I440" s="175" t="s">
        <v>209</v>
      </c>
      <c r="J440" s="132">
        <v>-7</v>
      </c>
      <c r="K440" s="133">
        <v>-10</v>
      </c>
      <c r="L440" s="133">
        <v>-6.5</v>
      </c>
      <c r="M440" s="133">
        <v>-4.5</v>
      </c>
      <c r="N440" s="134">
        <v>-4.5</v>
      </c>
      <c r="P440" s="175" t="s">
        <v>209</v>
      </c>
      <c r="Q440" s="132">
        <v>-19</v>
      </c>
      <c r="R440" s="133">
        <v>-18</v>
      </c>
      <c r="S440" s="133">
        <v>-17</v>
      </c>
      <c r="T440" s="133">
        <v>-16</v>
      </c>
      <c r="U440" s="134">
        <v>-16</v>
      </c>
    </row>
    <row r="441" spans="1:22">
      <c r="A441" s="156"/>
      <c r="B441" s="103"/>
      <c r="C441" s="103"/>
      <c r="D441" s="103"/>
      <c r="E441" s="103"/>
      <c r="F441" s="103"/>
      <c r="G441" s="103"/>
    </row>
    <row r="442" spans="1:22" s="34" customFormat="1">
      <c r="A442" s="156" t="s">
        <v>424</v>
      </c>
      <c r="B442" s="153" t="s">
        <v>268</v>
      </c>
      <c r="C442" s="153" t="s">
        <v>269</v>
      </c>
      <c r="D442" s="153" t="s">
        <v>270</v>
      </c>
      <c r="E442" s="153" t="s">
        <v>271</v>
      </c>
      <c r="F442" s="153" t="s">
        <v>272</v>
      </c>
      <c r="G442" s="153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</row>
    <row r="443" spans="1:22">
      <c r="A443" s="156" t="s">
        <v>206</v>
      </c>
      <c r="B443" s="103">
        <f t="shared" ref="B443:F446" si="80">(B431+B437)/2</f>
        <v>-5</v>
      </c>
      <c r="C443" s="103">
        <f t="shared" si="80"/>
        <v>0</v>
      </c>
      <c r="D443" s="103">
        <f t="shared" si="80"/>
        <v>-2.5</v>
      </c>
      <c r="E443" s="103">
        <f t="shared" si="80"/>
        <v>-8.5</v>
      </c>
      <c r="F443" s="103">
        <f t="shared" si="80"/>
        <v>-3.5</v>
      </c>
      <c r="G443" s="103"/>
    </row>
    <row r="444" spans="1:22">
      <c r="A444" s="156" t="s">
        <v>207</v>
      </c>
      <c r="B444" s="103">
        <f t="shared" si="80"/>
        <v>0</v>
      </c>
      <c r="C444" s="103">
        <f t="shared" si="80"/>
        <v>-8</v>
      </c>
      <c r="D444" s="103">
        <f t="shared" si="80"/>
        <v>-2.5</v>
      </c>
      <c r="E444" s="103">
        <f t="shared" si="80"/>
        <v>-11.5</v>
      </c>
      <c r="F444" s="103">
        <f t="shared" si="80"/>
        <v>-10.5</v>
      </c>
      <c r="G444" s="103"/>
    </row>
    <row r="445" spans="1:22">
      <c r="A445" s="156" t="s">
        <v>208</v>
      </c>
      <c r="B445" s="103">
        <f t="shared" si="80"/>
        <v>-11.5</v>
      </c>
      <c r="C445" s="103">
        <f t="shared" si="80"/>
        <v>-15.5</v>
      </c>
      <c r="D445" s="103">
        <f t="shared" si="80"/>
        <v>-12</v>
      </c>
      <c r="E445" s="103">
        <f t="shared" si="80"/>
        <v>0</v>
      </c>
      <c r="F445" s="103">
        <f t="shared" si="80"/>
        <v>-11</v>
      </c>
      <c r="G445" s="103"/>
    </row>
    <row r="446" spans="1:22">
      <c r="A446" s="156" t="s">
        <v>209</v>
      </c>
      <c r="B446" s="103">
        <f t="shared" si="80"/>
        <v>-7</v>
      </c>
      <c r="C446" s="103">
        <f t="shared" si="80"/>
        <v>-10</v>
      </c>
      <c r="D446" s="103">
        <f t="shared" si="80"/>
        <v>-6.5</v>
      </c>
      <c r="E446" s="103">
        <f t="shared" si="80"/>
        <v>-4.5</v>
      </c>
      <c r="F446" s="103">
        <f t="shared" si="80"/>
        <v>-4.5</v>
      </c>
      <c r="G446" s="103"/>
    </row>
    <row r="447" spans="1:22">
      <c r="A447" s="156"/>
      <c r="B447" s="103"/>
      <c r="C447" s="103"/>
      <c r="D447" s="103"/>
      <c r="E447" s="103"/>
      <c r="F447" s="103"/>
      <c r="G447" s="103"/>
    </row>
    <row r="448" spans="1:22" s="34" customFormat="1">
      <c r="A448" s="156" t="s">
        <v>425</v>
      </c>
      <c r="B448" s="153" t="s">
        <v>268</v>
      </c>
      <c r="C448" s="153" t="s">
        <v>269</v>
      </c>
      <c r="D448" s="153" t="s">
        <v>270</v>
      </c>
      <c r="E448" s="153" t="s">
        <v>271</v>
      </c>
      <c r="F448" s="153" t="s">
        <v>272</v>
      </c>
      <c r="G448" s="153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</row>
    <row r="449" spans="1:22">
      <c r="A449" s="156" t="s">
        <v>206</v>
      </c>
      <c r="B449" s="103">
        <f t="shared" ref="B449:F452" si="81">B424-$G$428</f>
        <v>-9</v>
      </c>
      <c r="C449" s="103">
        <f t="shared" si="81"/>
        <v>0</v>
      </c>
      <c r="D449" s="103">
        <f t="shared" si="81"/>
        <v>-5</v>
      </c>
      <c r="E449" s="103">
        <f t="shared" si="81"/>
        <v>-12</v>
      </c>
      <c r="F449" s="103">
        <f t="shared" si="81"/>
        <v>-7</v>
      </c>
      <c r="G449" s="103"/>
    </row>
    <row r="450" spans="1:22">
      <c r="A450" s="156" t="s">
        <v>207</v>
      </c>
      <c r="B450" s="103">
        <f t="shared" si="81"/>
        <v>-8</v>
      </c>
      <c r="C450" s="103">
        <f t="shared" si="81"/>
        <v>-12</v>
      </c>
      <c r="D450" s="103">
        <f t="shared" si="81"/>
        <v>-9</v>
      </c>
      <c r="E450" s="103">
        <f t="shared" si="81"/>
        <v>-19</v>
      </c>
      <c r="F450" s="103">
        <f t="shared" si="81"/>
        <v>-18</v>
      </c>
      <c r="G450" s="103"/>
    </row>
    <row r="451" spans="1:22">
      <c r="A451" s="156" t="s">
        <v>208</v>
      </c>
      <c r="B451" s="103">
        <f t="shared" si="81"/>
        <v>-19</v>
      </c>
      <c r="C451" s="103">
        <f t="shared" si="81"/>
        <v>-19</v>
      </c>
      <c r="D451" s="103">
        <f t="shared" si="81"/>
        <v>-18</v>
      </c>
      <c r="E451" s="103">
        <f t="shared" si="81"/>
        <v>-7</v>
      </c>
      <c r="F451" s="103">
        <f t="shared" si="81"/>
        <v>-18</v>
      </c>
      <c r="G451" s="103"/>
    </row>
    <row r="452" spans="1:22">
      <c r="A452" s="156" t="s">
        <v>209</v>
      </c>
      <c r="B452" s="103">
        <f t="shared" si="81"/>
        <v>-19</v>
      </c>
      <c r="C452" s="103">
        <f t="shared" si="81"/>
        <v>-18</v>
      </c>
      <c r="D452" s="103">
        <f t="shared" si="81"/>
        <v>-17</v>
      </c>
      <c r="E452" s="103">
        <f t="shared" si="81"/>
        <v>-16</v>
      </c>
      <c r="F452" s="103">
        <f t="shared" si="81"/>
        <v>-16</v>
      </c>
      <c r="G452" s="103"/>
    </row>
    <row r="453" spans="1:22">
      <c r="A453" s="156"/>
      <c r="B453" s="103"/>
      <c r="C453" s="103"/>
      <c r="D453" s="103"/>
      <c r="E453" s="103"/>
      <c r="F453" s="103"/>
      <c r="G453" s="103"/>
    </row>
    <row r="455" spans="1:22">
      <c r="A455" s="139" t="s">
        <v>426</v>
      </c>
      <c r="B455" s="103"/>
      <c r="C455" s="103"/>
      <c r="D455" s="103"/>
      <c r="E455" s="103"/>
      <c r="F455" s="103"/>
      <c r="G455" s="103"/>
    </row>
    <row r="456" spans="1:22">
      <c r="A456" s="157"/>
      <c r="B456" s="103"/>
      <c r="C456" s="103"/>
      <c r="D456" s="103"/>
      <c r="E456" s="103"/>
      <c r="F456" s="103"/>
      <c r="G456" s="103"/>
    </row>
    <row r="457" spans="1:22" s="34" customFormat="1">
      <c r="A457" s="331" t="s">
        <v>369</v>
      </c>
      <c r="B457" s="341" t="s">
        <v>268</v>
      </c>
      <c r="C457" s="341" t="s">
        <v>269</v>
      </c>
      <c r="D457" s="341" t="s">
        <v>270</v>
      </c>
      <c r="E457" s="341" t="s">
        <v>271</v>
      </c>
      <c r="F457" s="342" t="s">
        <v>272</v>
      </c>
      <c r="G457" s="153" t="s">
        <v>232</v>
      </c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</row>
    <row r="458" spans="1:22">
      <c r="A458" s="174" t="s">
        <v>206</v>
      </c>
      <c r="B458" s="88">
        <v>10</v>
      </c>
      <c r="C458" s="89">
        <v>19</v>
      </c>
      <c r="D458" s="89">
        <v>14</v>
      </c>
      <c r="E458" s="89">
        <v>7</v>
      </c>
      <c r="F458" s="90">
        <v>12</v>
      </c>
      <c r="G458" s="160">
        <f>MAX(B458:F458)</f>
        <v>19</v>
      </c>
    </row>
    <row r="459" spans="1:22">
      <c r="A459" s="174" t="s">
        <v>207</v>
      </c>
      <c r="B459" s="92">
        <v>11</v>
      </c>
      <c r="C459" s="93">
        <v>7</v>
      </c>
      <c r="D459" s="93">
        <v>10</v>
      </c>
      <c r="E459" s="93">
        <v>0</v>
      </c>
      <c r="F459" s="94">
        <v>1</v>
      </c>
      <c r="G459" s="160">
        <f t="shared" ref="G459:G461" si="82">MAX(B459:F459)</f>
        <v>11</v>
      </c>
    </row>
    <row r="460" spans="1:22">
      <c r="A460" s="174" t="s">
        <v>208</v>
      </c>
      <c r="B460" s="92">
        <v>0</v>
      </c>
      <c r="C460" s="93">
        <v>0</v>
      </c>
      <c r="D460" s="93">
        <v>1</v>
      </c>
      <c r="E460" s="93">
        <v>12</v>
      </c>
      <c r="F460" s="94">
        <v>1</v>
      </c>
      <c r="G460" s="160">
        <f t="shared" si="82"/>
        <v>12</v>
      </c>
    </row>
    <row r="461" spans="1:22">
      <c r="A461" s="175" t="s">
        <v>209</v>
      </c>
      <c r="B461" s="95">
        <v>0</v>
      </c>
      <c r="C461" s="96">
        <v>1</v>
      </c>
      <c r="D461" s="96">
        <v>2</v>
      </c>
      <c r="E461" s="96">
        <v>3</v>
      </c>
      <c r="F461" s="97">
        <v>3</v>
      </c>
      <c r="G461" s="160">
        <f t="shared" si="82"/>
        <v>3</v>
      </c>
    </row>
    <row r="462" spans="1:22">
      <c r="A462" s="140" t="s">
        <v>421</v>
      </c>
      <c r="B462" s="160">
        <f>MAX(B458:B461)</f>
        <v>11</v>
      </c>
      <c r="C462" s="160">
        <f t="shared" ref="C462" si="83">MAX(C458:C461)</f>
        <v>19</v>
      </c>
      <c r="D462" s="160">
        <f t="shared" ref="D462" si="84">MAX(D458:D461)</f>
        <v>14</v>
      </c>
      <c r="E462" s="160">
        <f t="shared" ref="E462" si="85">MAX(E458:E461)</f>
        <v>12</v>
      </c>
      <c r="F462" s="160">
        <f t="shared" ref="F462" si="86">MAX(F458:F461)</f>
        <v>12</v>
      </c>
      <c r="G462" s="161">
        <f>MAX(B458:F461)</f>
        <v>19</v>
      </c>
    </row>
    <row r="463" spans="1:22">
      <c r="A463" s="140"/>
      <c r="B463" s="103"/>
      <c r="C463" s="103"/>
      <c r="D463" s="103"/>
      <c r="E463" s="103"/>
      <c r="F463" s="103"/>
      <c r="G463" s="103"/>
    </row>
    <row r="464" spans="1:22" s="34" customFormat="1">
      <c r="A464" s="156" t="s">
        <v>427</v>
      </c>
      <c r="B464" s="153" t="s">
        <v>268</v>
      </c>
      <c r="C464" s="153" t="s">
        <v>269</v>
      </c>
      <c r="D464" s="153" t="s">
        <v>270</v>
      </c>
      <c r="E464" s="153" t="s">
        <v>271</v>
      </c>
      <c r="F464" s="153" t="s">
        <v>272</v>
      </c>
      <c r="G464" s="153"/>
      <c r="H464" s="141"/>
      <c r="I464" s="41" t="s">
        <v>524</v>
      </c>
      <c r="J464" s="172" t="s">
        <v>268</v>
      </c>
      <c r="K464" s="172" t="s">
        <v>269</v>
      </c>
      <c r="L464" s="172" t="s">
        <v>270</v>
      </c>
      <c r="M464" s="172" t="s">
        <v>271</v>
      </c>
      <c r="N464" s="173" t="s">
        <v>272</v>
      </c>
      <c r="O464" s="141"/>
      <c r="P464" s="41" t="s">
        <v>525</v>
      </c>
      <c r="Q464" s="172" t="s">
        <v>268</v>
      </c>
      <c r="R464" s="172" t="s">
        <v>269</v>
      </c>
      <c r="S464" s="172" t="s">
        <v>270</v>
      </c>
      <c r="T464" s="172" t="s">
        <v>271</v>
      </c>
      <c r="U464" s="173" t="s">
        <v>272</v>
      </c>
      <c r="V464" s="141"/>
    </row>
    <row r="465" spans="1:22">
      <c r="A465" s="156" t="s">
        <v>206</v>
      </c>
      <c r="B465" s="103">
        <f t="shared" ref="B465:F468" si="87">B424/$G458</f>
        <v>0.52631578947368418</v>
      </c>
      <c r="C465" s="103">
        <f t="shared" si="87"/>
        <v>1</v>
      </c>
      <c r="D465" s="103">
        <f t="shared" si="87"/>
        <v>0.73684210526315785</v>
      </c>
      <c r="E465" s="103">
        <f t="shared" si="87"/>
        <v>0.36842105263157893</v>
      </c>
      <c r="F465" s="103">
        <f t="shared" si="87"/>
        <v>0.63157894736842102</v>
      </c>
      <c r="G465" s="103"/>
      <c r="I465" s="174" t="s">
        <v>206</v>
      </c>
      <c r="J465" s="119">
        <v>0.52631578947368418</v>
      </c>
      <c r="K465" s="120">
        <v>1</v>
      </c>
      <c r="L465" s="120">
        <v>0.73684210526315785</v>
      </c>
      <c r="M465" s="120">
        <v>0.36842105263157893</v>
      </c>
      <c r="N465" s="121">
        <v>0.63157894736842102</v>
      </c>
      <c r="P465" s="174" t="s">
        <v>206</v>
      </c>
      <c r="Q465" s="119">
        <v>0.90909090909090906</v>
      </c>
      <c r="R465" s="120">
        <v>1</v>
      </c>
      <c r="S465" s="120">
        <v>1</v>
      </c>
      <c r="T465" s="120">
        <v>0.58333333333333337</v>
      </c>
      <c r="U465" s="121">
        <v>1</v>
      </c>
    </row>
    <row r="466" spans="1:22">
      <c r="A466" s="156" t="s">
        <v>207</v>
      </c>
      <c r="B466" s="103">
        <f t="shared" si="87"/>
        <v>1</v>
      </c>
      <c r="C466" s="103">
        <f t="shared" si="87"/>
        <v>0.63636363636363635</v>
      </c>
      <c r="D466" s="103">
        <f t="shared" si="87"/>
        <v>0.90909090909090906</v>
      </c>
      <c r="E466" s="103">
        <f t="shared" si="87"/>
        <v>0</v>
      </c>
      <c r="F466" s="103">
        <f t="shared" si="87"/>
        <v>9.0909090909090912E-2</v>
      </c>
      <c r="G466" s="103"/>
      <c r="I466" s="174" t="s">
        <v>207</v>
      </c>
      <c r="J466" s="124">
        <v>1</v>
      </c>
      <c r="K466" s="125">
        <v>0.63636363636363635</v>
      </c>
      <c r="L466" s="125">
        <v>0.90909090909090906</v>
      </c>
      <c r="M466" s="125">
        <v>0</v>
      </c>
      <c r="N466" s="126">
        <v>9.0909090909090912E-2</v>
      </c>
      <c r="P466" s="174" t="s">
        <v>207</v>
      </c>
      <c r="Q466" s="124">
        <v>1</v>
      </c>
      <c r="R466" s="125">
        <v>0.36842105263157893</v>
      </c>
      <c r="S466" s="125">
        <v>0.7142857142857143</v>
      </c>
      <c r="T466" s="125">
        <v>0</v>
      </c>
      <c r="U466" s="126">
        <v>8.3333333333333329E-2</v>
      </c>
    </row>
    <row r="467" spans="1:22">
      <c r="A467" s="156" t="s">
        <v>208</v>
      </c>
      <c r="B467" s="103">
        <f t="shared" si="87"/>
        <v>0</v>
      </c>
      <c r="C467" s="103">
        <f t="shared" si="87"/>
        <v>0</v>
      </c>
      <c r="D467" s="103">
        <f t="shared" si="87"/>
        <v>8.3333333333333329E-2</v>
      </c>
      <c r="E467" s="103">
        <f t="shared" si="87"/>
        <v>1</v>
      </c>
      <c r="F467" s="103">
        <f t="shared" si="87"/>
        <v>8.3333333333333329E-2</v>
      </c>
      <c r="G467" s="103"/>
      <c r="I467" s="174" t="s">
        <v>208</v>
      </c>
      <c r="J467" s="124">
        <v>0</v>
      </c>
      <c r="K467" s="125">
        <v>0</v>
      </c>
      <c r="L467" s="125">
        <v>8.3333333333333329E-2</v>
      </c>
      <c r="M467" s="125">
        <v>1</v>
      </c>
      <c r="N467" s="126">
        <v>8.3333333333333329E-2</v>
      </c>
      <c r="P467" s="174" t="s">
        <v>208</v>
      </c>
      <c r="Q467" s="124">
        <v>0</v>
      </c>
      <c r="R467" s="125">
        <v>0</v>
      </c>
      <c r="S467" s="125">
        <v>7.1428571428571425E-2</v>
      </c>
      <c r="T467" s="125">
        <v>1</v>
      </c>
      <c r="U467" s="126">
        <v>8.3333333333333329E-2</v>
      </c>
    </row>
    <row r="468" spans="1:22">
      <c r="A468" s="156" t="s">
        <v>209</v>
      </c>
      <c r="B468" s="103">
        <f t="shared" si="87"/>
        <v>0</v>
      </c>
      <c r="C468" s="103">
        <f t="shared" si="87"/>
        <v>0.33333333333333331</v>
      </c>
      <c r="D468" s="103">
        <f t="shared" si="87"/>
        <v>0.66666666666666663</v>
      </c>
      <c r="E468" s="103">
        <f t="shared" si="87"/>
        <v>1</v>
      </c>
      <c r="F468" s="103">
        <f t="shared" si="87"/>
        <v>1</v>
      </c>
      <c r="G468" s="103"/>
      <c r="I468" s="175" t="s">
        <v>209</v>
      </c>
      <c r="J468" s="132">
        <v>0</v>
      </c>
      <c r="K468" s="133">
        <v>0.33333333333333331</v>
      </c>
      <c r="L468" s="133">
        <v>0.66666666666666663</v>
      </c>
      <c r="M468" s="133">
        <v>1</v>
      </c>
      <c r="N468" s="134">
        <v>1</v>
      </c>
      <c r="P468" s="175" t="s">
        <v>209</v>
      </c>
      <c r="Q468" s="132">
        <v>0</v>
      </c>
      <c r="R468" s="133">
        <v>5.2631578947368418E-2</v>
      </c>
      <c r="S468" s="133">
        <v>0.14285714285714285</v>
      </c>
      <c r="T468" s="133">
        <v>0.25</v>
      </c>
      <c r="U468" s="134">
        <v>0.25</v>
      </c>
    </row>
    <row r="469" spans="1:22">
      <c r="A469" s="156"/>
      <c r="B469" s="103"/>
      <c r="C469" s="103"/>
      <c r="D469" s="103"/>
      <c r="E469" s="103"/>
      <c r="F469" s="103"/>
      <c r="G469" s="103"/>
    </row>
    <row r="470" spans="1:22" s="34" customFormat="1">
      <c r="A470" s="156" t="s">
        <v>428</v>
      </c>
      <c r="B470" s="153" t="s">
        <v>268</v>
      </c>
      <c r="C470" s="153" t="s">
        <v>269</v>
      </c>
      <c r="D470" s="153" t="s">
        <v>270</v>
      </c>
      <c r="E470" s="153" t="s">
        <v>271</v>
      </c>
      <c r="F470" s="153" t="s">
        <v>272</v>
      </c>
      <c r="G470" s="153"/>
      <c r="H470" s="141"/>
      <c r="I470" s="41" t="s">
        <v>526</v>
      </c>
      <c r="J470" s="172" t="s">
        <v>268</v>
      </c>
      <c r="K470" s="172" t="s">
        <v>269</v>
      </c>
      <c r="L470" s="172" t="s">
        <v>270</v>
      </c>
      <c r="M470" s="172" t="s">
        <v>271</v>
      </c>
      <c r="N470" s="173" t="s">
        <v>272</v>
      </c>
      <c r="O470" s="141"/>
      <c r="P470" s="41" t="s">
        <v>527</v>
      </c>
      <c r="Q470" s="172" t="s">
        <v>268</v>
      </c>
      <c r="R470" s="172" t="s">
        <v>269</v>
      </c>
      <c r="S470" s="172" t="s">
        <v>270</v>
      </c>
      <c r="T470" s="172" t="s">
        <v>271</v>
      </c>
      <c r="U470" s="173" t="s">
        <v>272</v>
      </c>
      <c r="V470" s="141"/>
    </row>
    <row r="471" spans="1:22">
      <c r="A471" s="156" t="s">
        <v>206</v>
      </c>
      <c r="B471" s="103">
        <f t="shared" ref="B471:F474" si="88">B458/B$462</f>
        <v>0.90909090909090906</v>
      </c>
      <c r="C471" s="103">
        <f t="shared" si="88"/>
        <v>1</v>
      </c>
      <c r="D471" s="103">
        <f t="shared" si="88"/>
        <v>1</v>
      </c>
      <c r="E471" s="103">
        <f t="shared" si="88"/>
        <v>0.58333333333333337</v>
      </c>
      <c r="F471" s="103">
        <f t="shared" si="88"/>
        <v>1</v>
      </c>
      <c r="G471" s="103"/>
      <c r="I471" s="174" t="s">
        <v>206</v>
      </c>
      <c r="J471" s="119">
        <v>0.66666666666666663</v>
      </c>
      <c r="K471" s="120">
        <v>1</v>
      </c>
      <c r="L471" s="120">
        <v>0.84848484848484851</v>
      </c>
      <c r="M471" s="120">
        <v>0.45161290322580644</v>
      </c>
      <c r="N471" s="121">
        <v>0.77419354838709675</v>
      </c>
      <c r="P471" s="174" t="s">
        <v>206</v>
      </c>
      <c r="Q471" s="119">
        <v>0.52631578947368418</v>
      </c>
      <c r="R471" s="120">
        <v>1</v>
      </c>
      <c r="S471" s="120">
        <v>0.73684210526315785</v>
      </c>
      <c r="T471" s="120">
        <v>0.36842105263157893</v>
      </c>
      <c r="U471" s="121">
        <v>0.63157894736842102</v>
      </c>
    </row>
    <row r="472" spans="1:22">
      <c r="A472" s="156" t="s">
        <v>207</v>
      </c>
      <c r="B472" s="103">
        <f t="shared" si="88"/>
        <v>1</v>
      </c>
      <c r="C472" s="103">
        <f t="shared" si="88"/>
        <v>0.36842105263157893</v>
      </c>
      <c r="D472" s="103">
        <f t="shared" si="88"/>
        <v>0.7142857142857143</v>
      </c>
      <c r="E472" s="103">
        <f t="shared" si="88"/>
        <v>0</v>
      </c>
      <c r="F472" s="103">
        <f t="shared" si="88"/>
        <v>8.3333333333333329E-2</v>
      </c>
      <c r="G472" s="103"/>
      <c r="I472" s="174" t="s">
        <v>207</v>
      </c>
      <c r="J472" s="124">
        <v>1</v>
      </c>
      <c r="K472" s="125">
        <v>0.46666666666666667</v>
      </c>
      <c r="L472" s="125">
        <v>0.8</v>
      </c>
      <c r="M472" s="125">
        <v>0</v>
      </c>
      <c r="N472" s="126">
        <v>8.6956521739130432E-2</v>
      </c>
      <c r="P472" s="174" t="s">
        <v>207</v>
      </c>
      <c r="Q472" s="124">
        <v>0.57894736842105265</v>
      </c>
      <c r="R472" s="125">
        <v>0.36842105263157893</v>
      </c>
      <c r="S472" s="125">
        <v>0.52631578947368418</v>
      </c>
      <c r="T472" s="125">
        <v>0</v>
      </c>
      <c r="U472" s="126">
        <v>5.2631578947368418E-2</v>
      </c>
    </row>
    <row r="473" spans="1:22">
      <c r="A473" s="156" t="s">
        <v>208</v>
      </c>
      <c r="B473" s="103">
        <f t="shared" si="88"/>
        <v>0</v>
      </c>
      <c r="C473" s="103">
        <f t="shared" si="88"/>
        <v>0</v>
      </c>
      <c r="D473" s="103">
        <f t="shared" si="88"/>
        <v>7.1428571428571425E-2</v>
      </c>
      <c r="E473" s="103">
        <f t="shared" si="88"/>
        <v>1</v>
      </c>
      <c r="F473" s="103">
        <f t="shared" si="88"/>
        <v>8.3333333333333329E-2</v>
      </c>
      <c r="G473" s="103"/>
      <c r="I473" s="174" t="s">
        <v>208</v>
      </c>
      <c r="J473" s="124">
        <v>0</v>
      </c>
      <c r="K473" s="125">
        <v>0</v>
      </c>
      <c r="L473" s="125">
        <v>7.6923076923076927E-2</v>
      </c>
      <c r="M473" s="125">
        <v>1</v>
      </c>
      <c r="N473" s="126">
        <v>8.3333333333333329E-2</v>
      </c>
      <c r="P473" s="174" t="s">
        <v>208</v>
      </c>
      <c r="Q473" s="124">
        <v>0</v>
      </c>
      <c r="R473" s="125">
        <v>0</v>
      </c>
      <c r="S473" s="125">
        <v>5.2631578947368418E-2</v>
      </c>
      <c r="T473" s="125">
        <v>0.63157894736842102</v>
      </c>
      <c r="U473" s="126">
        <v>5.2631578947368418E-2</v>
      </c>
    </row>
    <row r="474" spans="1:22">
      <c r="A474" s="156" t="s">
        <v>209</v>
      </c>
      <c r="B474" s="103">
        <f t="shared" si="88"/>
        <v>0</v>
      </c>
      <c r="C474" s="103">
        <f t="shared" si="88"/>
        <v>5.2631578947368418E-2</v>
      </c>
      <c r="D474" s="103">
        <f t="shared" si="88"/>
        <v>0.14285714285714285</v>
      </c>
      <c r="E474" s="103">
        <f t="shared" si="88"/>
        <v>0.25</v>
      </c>
      <c r="F474" s="103">
        <f t="shared" si="88"/>
        <v>0.25</v>
      </c>
      <c r="G474" s="103"/>
      <c r="I474" s="175" t="s">
        <v>209</v>
      </c>
      <c r="J474" s="132">
        <v>0</v>
      </c>
      <c r="K474" s="133">
        <v>9.0909090909090912E-2</v>
      </c>
      <c r="L474" s="133">
        <v>0.23529411764705882</v>
      </c>
      <c r="M474" s="133">
        <v>0.4</v>
      </c>
      <c r="N474" s="134">
        <v>0.4</v>
      </c>
      <c r="P474" s="175" t="s">
        <v>209</v>
      </c>
      <c r="Q474" s="132">
        <v>0</v>
      </c>
      <c r="R474" s="133">
        <v>5.2631578947368418E-2</v>
      </c>
      <c r="S474" s="133">
        <v>0.10526315789473684</v>
      </c>
      <c r="T474" s="133">
        <v>0.15789473684210525</v>
      </c>
      <c r="U474" s="134">
        <v>0.15789473684210525</v>
      </c>
    </row>
    <row r="475" spans="1:22">
      <c r="A475" s="156"/>
      <c r="B475" s="103"/>
      <c r="C475" s="103"/>
      <c r="D475" s="103"/>
      <c r="E475" s="103"/>
      <c r="F475" s="103"/>
      <c r="G475" s="103"/>
    </row>
    <row r="476" spans="1:22" s="34" customFormat="1">
      <c r="A476" s="156" t="s">
        <v>429</v>
      </c>
      <c r="B476" s="153" t="s">
        <v>268</v>
      </c>
      <c r="C476" s="153" t="s">
        <v>269</v>
      </c>
      <c r="D476" s="153" t="s">
        <v>270</v>
      </c>
      <c r="E476" s="153" t="s">
        <v>271</v>
      </c>
      <c r="F476" s="153" t="s">
        <v>272</v>
      </c>
      <c r="G476" s="153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</row>
    <row r="477" spans="1:22">
      <c r="A477" s="156" t="s">
        <v>206</v>
      </c>
      <c r="B477" s="103">
        <f t="shared" ref="B477:F480" si="89">(2*B458)/($G458+B$462)</f>
        <v>0.66666666666666663</v>
      </c>
      <c r="C477" s="103">
        <f t="shared" si="89"/>
        <v>1</v>
      </c>
      <c r="D477" s="103">
        <f t="shared" si="89"/>
        <v>0.84848484848484851</v>
      </c>
      <c r="E477" s="103">
        <f t="shared" si="89"/>
        <v>0.45161290322580644</v>
      </c>
      <c r="F477" s="103">
        <f t="shared" si="89"/>
        <v>0.77419354838709675</v>
      </c>
      <c r="G477" s="103"/>
    </row>
    <row r="478" spans="1:22">
      <c r="A478" s="156" t="s">
        <v>276</v>
      </c>
      <c r="B478" s="103">
        <f t="shared" si="89"/>
        <v>1</v>
      </c>
      <c r="C478" s="103">
        <f t="shared" si="89"/>
        <v>0.46666666666666667</v>
      </c>
      <c r="D478" s="103">
        <f t="shared" si="89"/>
        <v>0.8</v>
      </c>
      <c r="E478" s="103">
        <f t="shared" si="89"/>
        <v>0</v>
      </c>
      <c r="F478" s="103">
        <f t="shared" si="89"/>
        <v>8.6956521739130432E-2</v>
      </c>
      <c r="G478" s="103"/>
    </row>
    <row r="479" spans="1:22">
      <c r="A479" s="156" t="s">
        <v>208</v>
      </c>
      <c r="B479" s="103">
        <f t="shared" si="89"/>
        <v>0</v>
      </c>
      <c r="C479" s="103">
        <f t="shared" si="89"/>
        <v>0</v>
      </c>
      <c r="D479" s="103">
        <f t="shared" si="89"/>
        <v>7.6923076923076927E-2</v>
      </c>
      <c r="E479" s="103">
        <f t="shared" si="89"/>
        <v>1</v>
      </c>
      <c r="F479" s="103">
        <f t="shared" si="89"/>
        <v>8.3333333333333329E-2</v>
      </c>
      <c r="G479" s="103"/>
    </row>
    <row r="480" spans="1:22">
      <c r="A480" s="156" t="s">
        <v>209</v>
      </c>
      <c r="B480" s="103">
        <f t="shared" si="89"/>
        <v>0</v>
      </c>
      <c r="C480" s="103">
        <f t="shared" si="89"/>
        <v>9.0909090909090912E-2</v>
      </c>
      <c r="D480" s="103">
        <f t="shared" si="89"/>
        <v>0.23529411764705882</v>
      </c>
      <c r="E480" s="103">
        <f t="shared" si="89"/>
        <v>0.4</v>
      </c>
      <c r="F480" s="103">
        <f t="shared" si="89"/>
        <v>0.4</v>
      </c>
      <c r="G480" s="103"/>
    </row>
    <row r="481" spans="1:22">
      <c r="A481" s="156"/>
      <c r="B481" s="103"/>
      <c r="C481" s="103"/>
      <c r="D481" s="103"/>
      <c r="E481" s="103"/>
      <c r="F481" s="103"/>
      <c r="G481" s="103"/>
    </row>
    <row r="482" spans="1:22" s="34" customFormat="1">
      <c r="A482" s="156" t="s">
        <v>430</v>
      </c>
      <c r="B482" s="153" t="s">
        <v>268</v>
      </c>
      <c r="C482" s="153" t="s">
        <v>269</v>
      </c>
      <c r="D482" s="153" t="s">
        <v>270</v>
      </c>
      <c r="E482" s="153" t="s">
        <v>271</v>
      </c>
      <c r="F482" s="153" t="s">
        <v>272</v>
      </c>
      <c r="G482" s="153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</row>
    <row r="483" spans="1:22">
      <c r="A483" s="156" t="s">
        <v>206</v>
      </c>
      <c r="B483" s="103">
        <f t="shared" ref="B483:F486" si="90">B458/$G$462</f>
        <v>0.52631578947368418</v>
      </c>
      <c r="C483" s="103">
        <f t="shared" si="90"/>
        <v>1</v>
      </c>
      <c r="D483" s="103">
        <f t="shared" si="90"/>
        <v>0.73684210526315785</v>
      </c>
      <c r="E483" s="103">
        <f t="shared" si="90"/>
        <v>0.36842105263157893</v>
      </c>
      <c r="F483" s="103">
        <f t="shared" si="90"/>
        <v>0.63157894736842102</v>
      </c>
      <c r="G483" s="103"/>
    </row>
    <row r="484" spans="1:22">
      <c r="A484" s="156" t="s">
        <v>207</v>
      </c>
      <c r="B484" s="103">
        <f t="shared" si="90"/>
        <v>0.57894736842105265</v>
      </c>
      <c r="C484" s="103">
        <f t="shared" si="90"/>
        <v>0.36842105263157893</v>
      </c>
      <c r="D484" s="103">
        <f t="shared" si="90"/>
        <v>0.52631578947368418</v>
      </c>
      <c r="E484" s="103">
        <f t="shared" si="90"/>
        <v>0</v>
      </c>
      <c r="F484" s="103">
        <f t="shared" si="90"/>
        <v>5.2631578947368418E-2</v>
      </c>
      <c r="G484" s="103"/>
    </row>
    <row r="485" spans="1:22">
      <c r="A485" s="156" t="s">
        <v>208</v>
      </c>
      <c r="B485" s="103">
        <f t="shared" si="90"/>
        <v>0</v>
      </c>
      <c r="C485" s="103">
        <f t="shared" si="90"/>
        <v>0</v>
      </c>
      <c r="D485" s="103">
        <f t="shared" si="90"/>
        <v>5.2631578947368418E-2</v>
      </c>
      <c r="E485" s="103">
        <f t="shared" si="90"/>
        <v>0.63157894736842102</v>
      </c>
      <c r="F485" s="103">
        <f t="shared" si="90"/>
        <v>5.2631578947368418E-2</v>
      </c>
      <c r="G485" s="103"/>
    </row>
    <row r="486" spans="1:22">
      <c r="A486" s="156" t="s">
        <v>209</v>
      </c>
      <c r="B486" s="103">
        <f t="shared" si="90"/>
        <v>0</v>
      </c>
      <c r="C486" s="103">
        <f t="shared" si="90"/>
        <v>5.2631578947368418E-2</v>
      </c>
      <c r="D486" s="103">
        <f t="shared" si="90"/>
        <v>0.10526315789473684</v>
      </c>
      <c r="E486" s="103">
        <f t="shared" si="90"/>
        <v>0.15789473684210525</v>
      </c>
      <c r="F486" s="103">
        <f t="shared" si="90"/>
        <v>0.15789473684210525</v>
      </c>
      <c r="G486" s="103"/>
    </row>
    <row r="487" spans="1:22">
      <c r="A487" s="156"/>
      <c r="B487" s="103"/>
      <c r="C487" s="103"/>
      <c r="D487" s="103"/>
      <c r="E487" s="103"/>
      <c r="F487" s="103"/>
      <c r="G487" s="103"/>
    </row>
    <row r="489" spans="1:22">
      <c r="A489" s="151" t="s">
        <v>431</v>
      </c>
      <c r="B489" s="103"/>
      <c r="C489" s="103"/>
      <c r="D489" s="103"/>
      <c r="E489" s="103"/>
      <c r="F489" s="103"/>
      <c r="G489" s="103"/>
    </row>
    <row r="490" spans="1:22">
      <c r="A490" s="156"/>
      <c r="B490" s="103"/>
      <c r="C490" s="103"/>
      <c r="D490" s="103"/>
      <c r="E490" s="103"/>
      <c r="F490" s="103"/>
      <c r="G490" s="103"/>
    </row>
    <row r="491" spans="1:22" s="37" customFormat="1">
      <c r="A491" s="343" t="s">
        <v>369</v>
      </c>
      <c r="B491" s="344" t="s">
        <v>268</v>
      </c>
      <c r="C491" s="344" t="s">
        <v>269</v>
      </c>
      <c r="D491" s="344" t="s">
        <v>270</v>
      </c>
      <c r="E491" s="344" t="s">
        <v>271</v>
      </c>
      <c r="F491" s="345" t="s">
        <v>272</v>
      </c>
      <c r="G491" s="163" t="s">
        <v>232</v>
      </c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</row>
    <row r="492" spans="1:22" s="38" customFormat="1">
      <c r="A492" s="346" t="s">
        <v>206</v>
      </c>
      <c r="B492" s="88">
        <v>10</v>
      </c>
      <c r="C492" s="89">
        <v>19</v>
      </c>
      <c r="D492" s="89">
        <v>14</v>
      </c>
      <c r="E492" s="89">
        <v>7</v>
      </c>
      <c r="F492" s="90">
        <v>12</v>
      </c>
      <c r="G492" s="160">
        <f>MAX(B492:F492)</f>
        <v>19</v>
      </c>
      <c r="H492" s="209"/>
      <c r="I492" s="209"/>
      <c r="J492" s="209"/>
      <c r="K492" s="209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</row>
    <row r="493" spans="1:22" s="38" customFormat="1">
      <c r="A493" s="346" t="s">
        <v>207</v>
      </c>
      <c r="B493" s="92">
        <v>11</v>
      </c>
      <c r="C493" s="93">
        <v>7</v>
      </c>
      <c r="D493" s="93">
        <v>10</v>
      </c>
      <c r="E493" s="93">
        <v>0</v>
      </c>
      <c r="F493" s="94">
        <v>1</v>
      </c>
      <c r="G493" s="160">
        <f t="shared" ref="G493:G495" si="91">MAX(B493:F493)</f>
        <v>11</v>
      </c>
      <c r="H493" s="209"/>
      <c r="I493" s="209"/>
      <c r="J493" s="209"/>
      <c r="K493" s="209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</row>
    <row r="494" spans="1:22" s="38" customFormat="1">
      <c r="A494" s="346" t="s">
        <v>208</v>
      </c>
      <c r="B494" s="92">
        <v>0</v>
      </c>
      <c r="C494" s="93">
        <v>0</v>
      </c>
      <c r="D494" s="93">
        <v>1</v>
      </c>
      <c r="E494" s="93">
        <v>12</v>
      </c>
      <c r="F494" s="94">
        <v>1</v>
      </c>
      <c r="G494" s="160">
        <f t="shared" si="91"/>
        <v>12</v>
      </c>
      <c r="H494" s="209"/>
      <c r="I494" s="209"/>
      <c r="J494" s="209"/>
      <c r="K494" s="209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</row>
    <row r="495" spans="1:22" s="38" customFormat="1">
      <c r="A495" s="347" t="s">
        <v>209</v>
      </c>
      <c r="B495" s="95">
        <v>0</v>
      </c>
      <c r="C495" s="96">
        <v>1</v>
      </c>
      <c r="D495" s="96">
        <v>2</v>
      </c>
      <c r="E495" s="96">
        <v>3</v>
      </c>
      <c r="F495" s="97">
        <v>3</v>
      </c>
      <c r="G495" s="160">
        <f t="shared" si="91"/>
        <v>3</v>
      </c>
      <c r="H495" s="209"/>
      <c r="I495" s="209"/>
      <c r="J495" s="209"/>
      <c r="K495" s="209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</row>
    <row r="496" spans="1:22" s="38" customFormat="1">
      <c r="A496" s="165" t="s">
        <v>421</v>
      </c>
      <c r="B496" s="160">
        <f>MAX(B492:B495)</f>
        <v>11</v>
      </c>
      <c r="C496" s="160">
        <f t="shared" ref="C496" si="92">MAX(C492:C495)</f>
        <v>19</v>
      </c>
      <c r="D496" s="160">
        <f t="shared" ref="D496" si="93">MAX(D492:D495)</f>
        <v>14</v>
      </c>
      <c r="E496" s="160">
        <f t="shared" ref="E496" si="94">MAX(E492:E495)</f>
        <v>12</v>
      </c>
      <c r="F496" s="160">
        <f t="shared" ref="F496" si="95">MAX(F492:F495)</f>
        <v>12</v>
      </c>
      <c r="G496" s="161">
        <f>MAX(B492:F495)</f>
        <v>19</v>
      </c>
      <c r="H496" s="209"/>
      <c r="I496" s="209"/>
      <c r="J496" s="209"/>
      <c r="K496" s="209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</row>
    <row r="497" spans="1:22">
      <c r="B497" s="103"/>
      <c r="C497" s="103"/>
      <c r="D497" s="103"/>
      <c r="E497" s="103"/>
      <c r="F497" s="103"/>
      <c r="G497" s="103"/>
    </row>
    <row r="498" spans="1:22" s="34" customFormat="1">
      <c r="A498" s="156" t="s">
        <v>432</v>
      </c>
      <c r="B498" s="153" t="s">
        <v>268</v>
      </c>
      <c r="C498" s="153" t="s">
        <v>269</v>
      </c>
      <c r="D498" s="153" t="s">
        <v>270</v>
      </c>
      <c r="E498" s="153" t="s">
        <v>271</v>
      </c>
      <c r="F498" s="153" t="s">
        <v>272</v>
      </c>
      <c r="G498" s="153"/>
      <c r="H498" s="141"/>
      <c r="I498" s="41" t="s">
        <v>528</v>
      </c>
      <c r="J498" s="172" t="s">
        <v>268</v>
      </c>
      <c r="K498" s="172" t="s">
        <v>269</v>
      </c>
      <c r="L498" s="172" t="s">
        <v>270</v>
      </c>
      <c r="M498" s="172" t="s">
        <v>271</v>
      </c>
      <c r="N498" s="173" t="s">
        <v>272</v>
      </c>
      <c r="O498" s="141"/>
      <c r="P498" s="41" t="s">
        <v>529</v>
      </c>
      <c r="Q498" s="172" t="s">
        <v>268</v>
      </c>
      <c r="R498" s="172" t="s">
        <v>269</v>
      </c>
      <c r="S498" s="172" t="s">
        <v>270</v>
      </c>
      <c r="T498" s="172" t="s">
        <v>271</v>
      </c>
      <c r="U498" s="173" t="s">
        <v>272</v>
      </c>
      <c r="V498" s="141"/>
    </row>
    <row r="499" spans="1:22">
      <c r="A499" s="156" t="s">
        <v>206</v>
      </c>
      <c r="B499" s="103">
        <f>(B492-$G492)/$G492</f>
        <v>-0.47368421052631576</v>
      </c>
      <c r="C499" s="103">
        <f t="shared" ref="C499:F499" si="96">(C492-$G492)/$G492</f>
        <v>0</v>
      </c>
      <c r="D499" s="103">
        <f t="shared" si="96"/>
        <v>-0.26315789473684209</v>
      </c>
      <c r="E499" s="103">
        <f t="shared" si="96"/>
        <v>-0.63157894736842102</v>
      </c>
      <c r="F499" s="103">
        <f t="shared" si="96"/>
        <v>-0.36842105263157893</v>
      </c>
      <c r="G499" s="103"/>
      <c r="I499" s="174" t="s">
        <v>206</v>
      </c>
      <c r="J499" s="119">
        <v>-0.47368421052631576</v>
      </c>
      <c r="K499" s="120">
        <v>0</v>
      </c>
      <c r="L499" s="120">
        <v>-0.26315789473684209</v>
      </c>
      <c r="M499" s="120">
        <v>-0.63157894736842102</v>
      </c>
      <c r="N499" s="121">
        <v>-0.36842105263157893</v>
      </c>
      <c r="P499" s="174" t="s">
        <v>206</v>
      </c>
      <c r="Q499" s="119">
        <v>-9.0909090909090912E-2</v>
      </c>
      <c r="R499" s="120">
        <v>0</v>
      </c>
      <c r="S499" s="120">
        <v>0</v>
      </c>
      <c r="T499" s="120">
        <v>-0.41666666666666669</v>
      </c>
      <c r="U499" s="121">
        <v>0</v>
      </c>
    </row>
    <row r="500" spans="1:22">
      <c r="A500" s="156" t="s">
        <v>207</v>
      </c>
      <c r="B500" s="103">
        <f t="shared" ref="B500:F502" si="97">(B493-$G493)/$G493</f>
        <v>0</v>
      </c>
      <c r="C500" s="103">
        <f t="shared" si="97"/>
        <v>-0.36363636363636365</v>
      </c>
      <c r="D500" s="103">
        <f t="shared" si="97"/>
        <v>-9.0909090909090912E-2</v>
      </c>
      <c r="E500" s="103">
        <f t="shared" si="97"/>
        <v>-1</v>
      </c>
      <c r="F500" s="103">
        <f t="shared" si="97"/>
        <v>-0.90909090909090906</v>
      </c>
      <c r="G500" s="103"/>
      <c r="I500" s="174" t="s">
        <v>207</v>
      </c>
      <c r="J500" s="124">
        <v>0</v>
      </c>
      <c r="K500" s="125">
        <v>-0.36363636363636365</v>
      </c>
      <c r="L500" s="125">
        <v>-9.0909090909090912E-2</v>
      </c>
      <c r="M500" s="125">
        <v>-1</v>
      </c>
      <c r="N500" s="126">
        <v>-0.90909090909090906</v>
      </c>
      <c r="P500" s="174" t="s">
        <v>207</v>
      </c>
      <c r="Q500" s="124">
        <v>0</v>
      </c>
      <c r="R500" s="125">
        <v>-0.63157894736842102</v>
      </c>
      <c r="S500" s="125">
        <v>-0.2857142857142857</v>
      </c>
      <c r="T500" s="125">
        <v>-1</v>
      </c>
      <c r="U500" s="126">
        <v>-0.91666666666666663</v>
      </c>
    </row>
    <row r="501" spans="1:22">
      <c r="A501" s="156" t="s">
        <v>208</v>
      </c>
      <c r="B501" s="103">
        <f t="shared" si="97"/>
        <v>-1</v>
      </c>
      <c r="C501" s="103">
        <f t="shared" si="97"/>
        <v>-1</v>
      </c>
      <c r="D501" s="103">
        <f t="shared" si="97"/>
        <v>-0.91666666666666663</v>
      </c>
      <c r="E501" s="103">
        <f t="shared" si="97"/>
        <v>0</v>
      </c>
      <c r="F501" s="103">
        <f t="shared" si="97"/>
        <v>-0.91666666666666663</v>
      </c>
      <c r="G501" s="103"/>
      <c r="I501" s="174" t="s">
        <v>208</v>
      </c>
      <c r="J501" s="124">
        <v>-1</v>
      </c>
      <c r="K501" s="125">
        <v>-1</v>
      </c>
      <c r="L501" s="125">
        <v>-0.91666666666666663</v>
      </c>
      <c r="M501" s="125">
        <v>0</v>
      </c>
      <c r="N501" s="126">
        <v>-0.91666666666666663</v>
      </c>
      <c r="P501" s="174" t="s">
        <v>208</v>
      </c>
      <c r="Q501" s="124">
        <v>-1</v>
      </c>
      <c r="R501" s="125">
        <v>-1</v>
      </c>
      <c r="S501" s="125">
        <v>-0.9285714285714286</v>
      </c>
      <c r="T501" s="125">
        <v>0</v>
      </c>
      <c r="U501" s="126">
        <v>-0.91666666666666663</v>
      </c>
    </row>
    <row r="502" spans="1:22">
      <c r="A502" s="156" t="s">
        <v>279</v>
      </c>
      <c r="B502" s="103">
        <f t="shared" si="97"/>
        <v>-1</v>
      </c>
      <c r="C502" s="103">
        <f t="shared" si="97"/>
        <v>-0.66666666666666663</v>
      </c>
      <c r="D502" s="103">
        <f t="shared" si="97"/>
        <v>-0.33333333333333331</v>
      </c>
      <c r="E502" s="103">
        <f t="shared" si="97"/>
        <v>0</v>
      </c>
      <c r="F502" s="103">
        <f t="shared" si="97"/>
        <v>0</v>
      </c>
      <c r="G502" s="103"/>
      <c r="I502" s="175" t="s">
        <v>209</v>
      </c>
      <c r="J502" s="132">
        <v>-1</v>
      </c>
      <c r="K502" s="133">
        <v>-0.66666666666666663</v>
      </c>
      <c r="L502" s="133">
        <v>-0.33333333333333331</v>
      </c>
      <c r="M502" s="133">
        <v>0</v>
      </c>
      <c r="N502" s="134">
        <v>0</v>
      </c>
      <c r="P502" s="175" t="s">
        <v>209</v>
      </c>
      <c r="Q502" s="132">
        <v>-1</v>
      </c>
      <c r="R502" s="133">
        <v>-0.94736842105263153</v>
      </c>
      <c r="S502" s="133">
        <v>-0.8571428571428571</v>
      </c>
      <c r="T502" s="133">
        <v>-0.75</v>
      </c>
      <c r="U502" s="134">
        <v>-0.75</v>
      </c>
    </row>
    <row r="503" spans="1:22">
      <c r="A503" s="156"/>
      <c r="B503" s="103"/>
      <c r="C503" s="103"/>
      <c r="D503" s="103"/>
      <c r="E503" s="103"/>
      <c r="F503" s="103"/>
      <c r="G503" s="103"/>
    </row>
    <row r="504" spans="1:22" s="34" customFormat="1">
      <c r="A504" s="156" t="s">
        <v>433</v>
      </c>
      <c r="B504" s="153" t="s">
        <v>268</v>
      </c>
      <c r="C504" s="153" t="s">
        <v>269</v>
      </c>
      <c r="D504" s="153" t="s">
        <v>270</v>
      </c>
      <c r="E504" s="153" t="s">
        <v>271</v>
      </c>
      <c r="F504" s="153" t="s">
        <v>272</v>
      </c>
      <c r="G504" s="153"/>
      <c r="H504" s="141"/>
      <c r="I504" s="41" t="s">
        <v>530</v>
      </c>
      <c r="J504" s="172" t="s">
        <v>268</v>
      </c>
      <c r="K504" s="172" t="s">
        <v>269</v>
      </c>
      <c r="L504" s="172" t="s">
        <v>270</v>
      </c>
      <c r="M504" s="172" t="s">
        <v>271</v>
      </c>
      <c r="N504" s="173" t="s">
        <v>272</v>
      </c>
      <c r="O504" s="141"/>
      <c r="P504" s="41" t="s">
        <v>531</v>
      </c>
      <c r="Q504" s="42" t="s">
        <v>268</v>
      </c>
      <c r="R504" s="42" t="s">
        <v>269</v>
      </c>
      <c r="S504" s="42" t="s">
        <v>270</v>
      </c>
      <c r="T504" s="42" t="s">
        <v>271</v>
      </c>
      <c r="U504" s="43" t="s">
        <v>272</v>
      </c>
      <c r="V504" s="141"/>
    </row>
    <row r="505" spans="1:22">
      <c r="A505" s="156" t="s">
        <v>206</v>
      </c>
      <c r="B505" s="103">
        <f>(B492-B$496)/B$496</f>
        <v>-9.0909090909090912E-2</v>
      </c>
      <c r="C505" s="103">
        <f t="shared" ref="C505:F505" si="98">(C492-C$496)/C$496</f>
        <v>0</v>
      </c>
      <c r="D505" s="103">
        <f t="shared" si="98"/>
        <v>0</v>
      </c>
      <c r="E505" s="103">
        <f t="shared" si="98"/>
        <v>-0.41666666666666669</v>
      </c>
      <c r="F505" s="103">
        <f t="shared" si="98"/>
        <v>0</v>
      </c>
      <c r="G505" s="103"/>
      <c r="I505" s="174" t="s">
        <v>206</v>
      </c>
      <c r="J505" s="119">
        <v>-0.33333333333333331</v>
      </c>
      <c r="K505" s="120">
        <v>0</v>
      </c>
      <c r="L505" s="120">
        <v>-0.15151515151515152</v>
      </c>
      <c r="M505" s="120">
        <v>-0.54838709677419351</v>
      </c>
      <c r="N505" s="121">
        <v>-0.22580645161290322</v>
      </c>
      <c r="P505" s="44" t="s">
        <v>206</v>
      </c>
      <c r="Q505" s="46">
        <v>-0.47368421052631576</v>
      </c>
      <c r="R505" s="47">
        <v>0</v>
      </c>
      <c r="S505" s="47">
        <v>-0.26315789473684209</v>
      </c>
      <c r="T505" s="47">
        <v>-0.63157894736842102</v>
      </c>
      <c r="U505" s="48">
        <v>-0.36842105263157893</v>
      </c>
    </row>
    <row r="506" spans="1:22">
      <c r="A506" s="156" t="s">
        <v>207</v>
      </c>
      <c r="B506" s="103">
        <f t="shared" ref="B506:F508" si="99">(B493-B$496)/B$496</f>
        <v>0</v>
      </c>
      <c r="C506" s="103">
        <f t="shared" si="99"/>
        <v>-0.63157894736842102</v>
      </c>
      <c r="D506" s="103">
        <f t="shared" si="99"/>
        <v>-0.2857142857142857</v>
      </c>
      <c r="E506" s="103">
        <f t="shared" si="99"/>
        <v>-1</v>
      </c>
      <c r="F506" s="103">
        <f t="shared" si="99"/>
        <v>-0.91666666666666663</v>
      </c>
      <c r="G506" s="103"/>
      <c r="I506" s="174" t="s">
        <v>207</v>
      </c>
      <c r="J506" s="124">
        <v>0</v>
      </c>
      <c r="K506" s="125">
        <v>-0.53333333333333333</v>
      </c>
      <c r="L506" s="125">
        <v>-0.2</v>
      </c>
      <c r="M506" s="125">
        <v>-1</v>
      </c>
      <c r="N506" s="126">
        <v>-0.91304347826086951</v>
      </c>
      <c r="P506" s="44" t="s">
        <v>207</v>
      </c>
      <c r="Q506" s="49">
        <v>-0.42105263157894735</v>
      </c>
      <c r="R506" s="50">
        <v>-0.63157894736842102</v>
      </c>
      <c r="S506" s="50">
        <v>-0.47368421052631576</v>
      </c>
      <c r="T506" s="50">
        <v>-1</v>
      </c>
      <c r="U506" s="51">
        <v>-0.94736842105263153</v>
      </c>
    </row>
    <row r="507" spans="1:22">
      <c r="A507" s="156" t="s">
        <v>208</v>
      </c>
      <c r="B507" s="103">
        <f t="shared" si="99"/>
        <v>-1</v>
      </c>
      <c r="C507" s="103">
        <f t="shared" si="99"/>
        <v>-1</v>
      </c>
      <c r="D507" s="103">
        <f t="shared" si="99"/>
        <v>-0.9285714285714286</v>
      </c>
      <c r="E507" s="103">
        <f t="shared" si="99"/>
        <v>0</v>
      </c>
      <c r="F507" s="103">
        <f t="shared" si="99"/>
        <v>-0.91666666666666663</v>
      </c>
      <c r="G507" s="103"/>
      <c r="I507" s="174" t="s">
        <v>208</v>
      </c>
      <c r="J507" s="124">
        <v>-1</v>
      </c>
      <c r="K507" s="125">
        <v>-1</v>
      </c>
      <c r="L507" s="125">
        <v>-0.92307692307692313</v>
      </c>
      <c r="M507" s="125">
        <v>0</v>
      </c>
      <c r="N507" s="126">
        <v>-0.91666666666666663</v>
      </c>
      <c r="P507" s="44" t="s">
        <v>208</v>
      </c>
      <c r="Q507" s="49">
        <v>-1</v>
      </c>
      <c r="R507" s="50">
        <v>-1</v>
      </c>
      <c r="S507" s="50">
        <v>-0.94736842105263153</v>
      </c>
      <c r="T507" s="50">
        <v>-0.36842105263157893</v>
      </c>
      <c r="U507" s="51">
        <v>-0.94736842105263153</v>
      </c>
    </row>
    <row r="508" spans="1:22">
      <c r="A508" s="156" t="s">
        <v>209</v>
      </c>
      <c r="B508" s="103">
        <f t="shared" si="99"/>
        <v>-1</v>
      </c>
      <c r="C508" s="103">
        <f t="shared" si="99"/>
        <v>-0.94736842105263153</v>
      </c>
      <c r="D508" s="103">
        <f t="shared" si="99"/>
        <v>-0.8571428571428571</v>
      </c>
      <c r="E508" s="103">
        <f t="shared" si="99"/>
        <v>-0.75</v>
      </c>
      <c r="F508" s="103">
        <f t="shared" si="99"/>
        <v>-0.75</v>
      </c>
      <c r="G508" s="103"/>
      <c r="I508" s="175" t="s">
        <v>209</v>
      </c>
      <c r="J508" s="132">
        <v>-1</v>
      </c>
      <c r="K508" s="133">
        <v>-0.90909090909090906</v>
      </c>
      <c r="L508" s="133">
        <v>-0.76470588235294112</v>
      </c>
      <c r="M508" s="133">
        <v>-0.6</v>
      </c>
      <c r="N508" s="134">
        <v>-0.6</v>
      </c>
      <c r="P508" s="45" t="s">
        <v>209</v>
      </c>
      <c r="Q508" s="52">
        <v>-1</v>
      </c>
      <c r="R508" s="53">
        <v>-0.94736842105263153</v>
      </c>
      <c r="S508" s="53">
        <v>-0.89473684210526316</v>
      </c>
      <c r="T508" s="53">
        <v>-0.84210526315789469</v>
      </c>
      <c r="U508" s="54">
        <v>-0.84210526315789469</v>
      </c>
    </row>
    <row r="509" spans="1:22">
      <c r="A509" s="156"/>
      <c r="B509" s="103"/>
      <c r="C509" s="103"/>
      <c r="D509" s="103"/>
      <c r="E509" s="103"/>
      <c r="F509" s="103"/>
      <c r="G509" s="103"/>
    </row>
    <row r="510" spans="1:22" s="34" customFormat="1">
      <c r="A510" s="156" t="s">
        <v>434</v>
      </c>
      <c r="B510" s="153" t="s">
        <v>268</v>
      </c>
      <c r="C510" s="153" t="s">
        <v>269</v>
      </c>
      <c r="D510" s="153" t="s">
        <v>270</v>
      </c>
      <c r="E510" s="153" t="s">
        <v>271</v>
      </c>
      <c r="F510" s="153" t="s">
        <v>272</v>
      </c>
      <c r="G510" s="153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</row>
    <row r="511" spans="1:22">
      <c r="A511" s="156" t="s">
        <v>206</v>
      </c>
      <c r="B511" s="103">
        <f t="shared" ref="B511:F514" si="100">(2*B492-$G492-B$496)/($G492+B$496)</f>
        <v>-0.33333333333333331</v>
      </c>
      <c r="C511" s="103">
        <f t="shared" si="100"/>
        <v>0</v>
      </c>
      <c r="D511" s="103">
        <f t="shared" si="100"/>
        <v>-0.15151515151515152</v>
      </c>
      <c r="E511" s="103">
        <f t="shared" si="100"/>
        <v>-0.54838709677419351</v>
      </c>
      <c r="F511" s="103">
        <f t="shared" si="100"/>
        <v>-0.22580645161290322</v>
      </c>
      <c r="G511" s="103"/>
    </row>
    <row r="512" spans="1:22">
      <c r="A512" s="156" t="s">
        <v>207</v>
      </c>
      <c r="B512" s="103">
        <f t="shared" si="100"/>
        <v>0</v>
      </c>
      <c r="C512" s="103">
        <f t="shared" si="100"/>
        <v>-0.53333333333333333</v>
      </c>
      <c r="D512" s="103">
        <f t="shared" si="100"/>
        <v>-0.2</v>
      </c>
      <c r="E512" s="103">
        <f t="shared" si="100"/>
        <v>-1</v>
      </c>
      <c r="F512" s="103">
        <f t="shared" si="100"/>
        <v>-0.91304347826086951</v>
      </c>
      <c r="G512" s="103"/>
    </row>
    <row r="513" spans="1:22">
      <c r="A513" s="156" t="s">
        <v>208</v>
      </c>
      <c r="B513" s="103">
        <f t="shared" si="100"/>
        <v>-1</v>
      </c>
      <c r="C513" s="103">
        <f t="shared" si="100"/>
        <v>-1</v>
      </c>
      <c r="D513" s="103">
        <f t="shared" si="100"/>
        <v>-0.92307692307692313</v>
      </c>
      <c r="E513" s="103">
        <f t="shared" si="100"/>
        <v>0</v>
      </c>
      <c r="F513" s="103">
        <f t="shared" si="100"/>
        <v>-0.91666666666666663</v>
      </c>
      <c r="G513" s="103"/>
    </row>
    <row r="514" spans="1:22">
      <c r="A514" s="156" t="s">
        <v>209</v>
      </c>
      <c r="B514" s="103">
        <f t="shared" si="100"/>
        <v>-1</v>
      </c>
      <c r="C514" s="103">
        <f t="shared" si="100"/>
        <v>-0.90909090909090906</v>
      </c>
      <c r="D514" s="103">
        <f t="shared" si="100"/>
        <v>-0.76470588235294112</v>
      </c>
      <c r="E514" s="103">
        <f t="shared" si="100"/>
        <v>-0.6</v>
      </c>
      <c r="F514" s="103">
        <f t="shared" si="100"/>
        <v>-0.6</v>
      </c>
      <c r="G514" s="103"/>
    </row>
    <row r="515" spans="1:22">
      <c r="A515" s="156"/>
      <c r="B515" s="103"/>
      <c r="C515" s="103"/>
      <c r="D515" s="103"/>
      <c r="E515" s="103"/>
      <c r="F515" s="103"/>
      <c r="G515" s="103"/>
    </row>
    <row r="516" spans="1:22" s="34" customFormat="1">
      <c r="A516" s="156" t="s">
        <v>435</v>
      </c>
      <c r="B516" s="153" t="s">
        <v>268</v>
      </c>
      <c r="C516" s="153" t="s">
        <v>269</v>
      </c>
      <c r="D516" s="153" t="s">
        <v>270</v>
      </c>
      <c r="E516" s="153" t="s">
        <v>271</v>
      </c>
      <c r="F516" s="153" t="s">
        <v>272</v>
      </c>
      <c r="G516" s="153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</row>
    <row r="517" spans="1:22">
      <c r="A517" s="156" t="s">
        <v>206</v>
      </c>
      <c r="B517" s="103">
        <f>(B492-$G$496)/$G$496</f>
        <v>-0.47368421052631576</v>
      </c>
      <c r="C517" s="103">
        <f t="shared" ref="C517:F517" si="101">(C492-$G$496)/$G$496</f>
        <v>0</v>
      </c>
      <c r="D517" s="103">
        <f t="shared" si="101"/>
        <v>-0.26315789473684209</v>
      </c>
      <c r="E517" s="103">
        <f t="shared" si="101"/>
        <v>-0.63157894736842102</v>
      </c>
      <c r="F517" s="103">
        <f t="shared" si="101"/>
        <v>-0.36842105263157893</v>
      </c>
      <c r="G517" s="103"/>
    </row>
    <row r="518" spans="1:22">
      <c r="A518" s="156" t="s">
        <v>207</v>
      </c>
      <c r="B518" s="103">
        <f t="shared" ref="B518:F520" si="102">(B493-$G$496)/$G$496</f>
        <v>-0.42105263157894735</v>
      </c>
      <c r="C518" s="103">
        <f t="shared" si="102"/>
        <v>-0.63157894736842102</v>
      </c>
      <c r="D518" s="103">
        <f t="shared" si="102"/>
        <v>-0.47368421052631576</v>
      </c>
      <c r="E518" s="103">
        <f t="shared" si="102"/>
        <v>-1</v>
      </c>
      <c r="F518" s="103">
        <f t="shared" si="102"/>
        <v>-0.94736842105263153</v>
      </c>
      <c r="G518" s="103"/>
    </row>
    <row r="519" spans="1:22">
      <c r="A519" s="156" t="s">
        <v>208</v>
      </c>
      <c r="B519" s="103">
        <f t="shared" si="102"/>
        <v>-1</v>
      </c>
      <c r="C519" s="103">
        <f t="shared" si="102"/>
        <v>-1</v>
      </c>
      <c r="D519" s="103">
        <f t="shared" si="102"/>
        <v>-0.94736842105263153</v>
      </c>
      <c r="E519" s="103">
        <f t="shared" si="102"/>
        <v>-0.36842105263157893</v>
      </c>
      <c r="F519" s="103">
        <f t="shared" si="102"/>
        <v>-0.94736842105263153</v>
      </c>
      <c r="G519" s="103"/>
    </row>
    <row r="520" spans="1:22">
      <c r="A520" s="156" t="s">
        <v>209</v>
      </c>
      <c r="B520" s="103">
        <f t="shared" si="102"/>
        <v>-1</v>
      </c>
      <c r="C520" s="103">
        <f t="shared" si="102"/>
        <v>-0.94736842105263153</v>
      </c>
      <c r="D520" s="103">
        <f t="shared" si="102"/>
        <v>-0.89473684210526316</v>
      </c>
      <c r="E520" s="103">
        <f t="shared" si="102"/>
        <v>-0.84210526315789469</v>
      </c>
      <c r="F520" s="103">
        <f t="shared" si="102"/>
        <v>-0.84210526315789469</v>
      </c>
      <c r="G520" s="103"/>
    </row>
    <row r="521" spans="1:22">
      <c r="A521" s="101"/>
      <c r="B521" s="103"/>
      <c r="C521" s="103"/>
      <c r="D521" s="103"/>
      <c r="E521" s="103"/>
      <c r="F521" s="103"/>
      <c r="G521" s="103"/>
    </row>
  </sheetData>
  <phoneticPr fontId="2"/>
  <conditionalFormatting sqref="B1:G6 B47:G47 B87:G87 B117:G117 B151:G151 B211:G215 B185:G185 B247:G249 B221:G221 B281:G283 B255:G255 B315:G318 B289:G289 B351:G352 B331:G331 B385:G386 B359:G359 B419:G422 B393:G393 B455:G456 B429:G429 B489:G490 B469:G469 B497:G497 B13:G31 B37:G40 G32:G36 B71:G74 G48:G70 B93:G93 G88:G92 B99:G99 G94:G98 B105:G110 G100:G104 B123:G123 G118:G122 B129:G129 G124:G128 B135:G135 G130:G134 B141:G145 G136:G140 B157:G157 G152:G156 B163:G163 G158:G162 B169:G169 G164:G168 B175:G179 G170:G174 B191:G191 G186:G190 B197:G197 G192:G196 B203:G203 G198:G202 B209:G209 G204:G208 B227:G227 G222:G226 B233:G233 G228:G232 B239:G239 G234:G238 B245:G245 G240:G244 B261:G261 G256:G260 B267:G267 G262:G266 B273:G273 G268:G272 B279:G279 G274:G278 B295:G295 G290:G294 B301:G301 G296:G300 B307:G307 G302:G306 B313:G313 G308:G312 G326:G330 B337:G337 G332:G336 B343:G343 G338:G342 B349:G349 G344:G348 B365:G365 G360:G364 B371:G371 G366:G370 B377:G377 G372:G376 B383:G383 G378:G382 B399:G399 G394:G398 B405:G405 G400:G404 B411:G411 G406:G410 B417:G417 G412:G416 B435:G435 G430:G434 B441:G441 G436:G440 B447:G447 G442:G446 B453:G453 G448:G452 G464:G468 B475:G475 G470:G474 B481:G481 G476:G480 B487:G487 G482:G486 B503:G503 G498:G502 B509:G509 G504:G508 B515:G515 G510:G514 B521:G521 G516:G520 G7">
    <cfRule type="dataBar" priority="203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{1B5425D0-6E24-47D2-B032-34E0ACD51847}</x14:id>
        </ext>
      </extLst>
    </cfRule>
  </conditionalFormatting>
  <conditionalFormatting sqref="B1:G6 B47:G47 B87:G87 B117:G117 B151:G151 B211:G215 B185:G185 B247:G249 B221:G221 B281:G283 B255:G255 B315:G318 B289:G289 B351:G352 B331:G331 B385:G386 B359:G359 B419:G422 B393:G393 B455:G456 B429:G429 B489:G490 B469:G469 B497:G497 B13:G31 B37:G40 G32:G36 B71:G74 G48:G70 B93:G93 G88:G92 B99:G99 G94:G98 B105:G110 G100:G104 B123:G123 G118:G122 B129:G129 G124:G128 B135:G135 G130:G134 B141:G145 G136:G140 B157:G157 G152:G156 B163:G163 G158:G162 B169:G169 G164:G168 B175:G179 G170:G174 B191:G191 G186:G190 B197:G197 G192:G196 B203:G203 G198:G202 B209:G209 G204:G208 B227:G227 G222:G226 B233:G233 G228:G232 B239:G239 G234:G238 B245:G245 G240:G244 B261:G261 G256:G260 B267:G267 G262:G266 B273:G273 G268:G272 B279:G279 G274:G278 B295:G295 G290:G294 B301:G301 G296:G300 B307:G307 G302:G306 B313:G313 G308:G312 G326:G330 B337:G337 G332:G336 B343:G343 G338:G342 B349:G349 G344:G348 B365:G365 G360:G364 B371:G371 G366:G370 B377:G377 G372:G376 B383:G383 G378:G382 B399:G399 G394:G398 B405:G405 G400:G404 B411:G411 G406:G410 B417:G417 G412:G416 B435:G435 G430:G434 B441:G441 G436:G440 B447:G447 G442:G446 B453:G453 G448:G452 G464:G468 B475:G475 G470:G474 B481:G481 G476:G480 B487:G487 G482:G486 B503:G503 G498:G502 B509:G509 G504:G508 B515:G515 G510:G514 B521:G521 G516:G520 G7">
    <cfRule type="dataBar" priority="205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{BA9A45F8-04F4-47F8-92EA-A6244B4BA5A4}</x14:id>
        </ext>
      </extLst>
    </cfRule>
  </conditionalFormatting>
  <conditionalFormatting sqref="B15:F18">
    <cfRule type="dataBar" priority="29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{C7542074-049A-4025-A126-83ECD9BBEFE8}</x14:id>
        </ext>
      </extLst>
    </cfRule>
  </conditionalFormatting>
  <conditionalFormatting sqref="B21:F24">
    <cfRule type="dataBar" priority="29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{A411815A-6425-408D-8F91-30210C1D390F}</x14:id>
        </ext>
      </extLst>
    </cfRule>
  </conditionalFormatting>
  <conditionalFormatting sqref="B27:F30">
    <cfRule type="dataBar" priority="29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{D1E1AAA8-3EC6-4BBA-BFB6-C311A6413AF2}</x14:id>
        </ext>
      </extLst>
    </cfRule>
  </conditionalFormatting>
  <conditionalFormatting sqref="A53:F53 A59:F59 A65:F65">
    <cfRule type="dataBar" priority="28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{D014EE6D-E434-426B-BBD3-52297B85CD0C}</x14:id>
        </ext>
      </extLst>
    </cfRule>
  </conditionalFormatting>
  <conditionalFormatting sqref="A53:F53 A59:F59 A65:F65">
    <cfRule type="dataBar" priority="28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{A4BF053E-073A-4E63-89CB-2FCCFB0D4A17}</x14:id>
        </ext>
      </extLst>
    </cfRule>
  </conditionalFormatting>
  <conditionalFormatting sqref="A53:F53 A59:F59 A65:F65">
    <cfRule type="dataBar" priority="28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{8D5D2D76-AF34-4112-81D1-9B6BC43F9C28}</x14:id>
        </ext>
      </extLst>
    </cfRule>
  </conditionalFormatting>
  <conditionalFormatting sqref="A81:G81 G82:G86">
    <cfRule type="dataBar" priority="27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{E96E64D5-3919-475A-B1A0-5AB1844B8919}</x14:id>
        </ext>
      </extLst>
    </cfRule>
  </conditionalFormatting>
  <conditionalFormatting sqref="A81:G81 G82:G86">
    <cfRule type="dataBar" priority="27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{90B5DB2D-EC0F-4DA0-95A5-59AF34126F68}</x14:id>
        </ext>
      </extLst>
    </cfRule>
  </conditionalFormatting>
  <conditionalFormatting sqref="A81:G81 G82:G86">
    <cfRule type="dataBar" priority="27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{F735BEFE-7F9F-4DC0-A79F-668443FF94CB}</x14:id>
        </ext>
      </extLst>
    </cfRule>
  </conditionalFormatting>
  <conditionalFormatting sqref="B32:F36">
    <cfRule type="dataBar" priority="23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{D0EBEB5D-66B9-4B6C-AAD2-C7EF74326044}</x14:id>
        </ext>
      </extLst>
    </cfRule>
  </conditionalFormatting>
  <conditionalFormatting sqref="B32:F36">
    <cfRule type="dataBar" priority="23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{F8A1A7FE-3AA9-4F28-AB1F-0E2FD8AC664D}</x14:id>
        </ext>
      </extLst>
    </cfRule>
  </conditionalFormatting>
  <conditionalFormatting sqref="B33:F36">
    <cfRule type="dataBar" priority="22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{D0A98C7F-293C-4D4E-B08F-5EE44F7ABD05}</x14:id>
        </ext>
      </extLst>
    </cfRule>
  </conditionalFormatting>
  <conditionalFormatting sqref="B48:F52">
    <cfRule type="dataBar" priority="22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{7112406C-4D22-4CDF-B4DC-FD0BD0EA66E7}</x14:id>
        </ext>
      </extLst>
    </cfRule>
  </conditionalFormatting>
  <conditionalFormatting sqref="B48:F52">
    <cfRule type="dataBar" priority="22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{9FA413DC-140D-4AB9-A056-E6F0880714AC}</x14:id>
        </ext>
      </extLst>
    </cfRule>
  </conditionalFormatting>
  <conditionalFormatting sqref="B49:F52">
    <cfRule type="dataBar" priority="22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{F0BFBDFE-3462-4582-872B-128CEB663CAB}</x14:id>
        </ext>
      </extLst>
    </cfRule>
  </conditionalFormatting>
  <conditionalFormatting sqref="B54:F58">
    <cfRule type="dataBar" priority="22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{46C514FD-E8AE-4D3C-8EF1-6F0DB83A1107}</x14:id>
        </ext>
      </extLst>
    </cfRule>
  </conditionalFormatting>
  <conditionalFormatting sqref="B54:F58">
    <cfRule type="dataBar" priority="22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{10B578D9-E025-4110-9983-E6527DFECD8A}</x14:id>
        </ext>
      </extLst>
    </cfRule>
  </conditionalFormatting>
  <conditionalFormatting sqref="B55:F58">
    <cfRule type="dataBar" priority="22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{64728FBC-1499-4A67-90E7-A168A6300FB7}</x14:id>
        </ext>
      </extLst>
    </cfRule>
  </conditionalFormatting>
  <conditionalFormatting sqref="B60:F64">
    <cfRule type="dataBar" priority="22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{A15D8991-1A53-4048-9C2F-4EE4646FC118}</x14:id>
        </ext>
      </extLst>
    </cfRule>
  </conditionalFormatting>
  <conditionalFormatting sqref="B60:F64">
    <cfRule type="dataBar" priority="22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{17C1DB67-E6CD-4971-A2AD-5E4DC2EE5096}</x14:id>
        </ext>
      </extLst>
    </cfRule>
  </conditionalFormatting>
  <conditionalFormatting sqref="B61:F64">
    <cfRule type="dataBar" priority="22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{FA4B7499-6F79-4835-AB7C-D46EAA84CA50}</x14:id>
        </ext>
      </extLst>
    </cfRule>
  </conditionalFormatting>
  <conditionalFormatting sqref="B66:F70">
    <cfRule type="dataBar" priority="21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{705FD515-D9FB-4226-B26B-4205A84FA33D}</x14:id>
        </ext>
      </extLst>
    </cfRule>
  </conditionalFormatting>
  <conditionalFormatting sqref="B66:F70">
    <cfRule type="dataBar" priority="21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{0B030604-5AD0-41E0-9807-4AFB21BE4AAD}</x14:id>
        </ext>
      </extLst>
    </cfRule>
  </conditionalFormatting>
  <conditionalFormatting sqref="B67:F70">
    <cfRule type="dataBar" priority="21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{886CB7E7-9A48-4A97-8776-6D282E0A89B3}</x14:id>
        </ext>
      </extLst>
    </cfRule>
  </conditionalFormatting>
  <conditionalFormatting sqref="B82:F86">
    <cfRule type="dataBar" priority="21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{7B71F60F-4AD5-4E5D-95D6-227AB3851D9A}</x14:id>
        </ext>
      </extLst>
    </cfRule>
  </conditionalFormatting>
  <conditionalFormatting sqref="B82:F86">
    <cfRule type="dataBar" priority="21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{7BFECEBA-1D84-442F-B455-0818C20E3160}</x14:id>
        </ext>
      </extLst>
    </cfRule>
  </conditionalFormatting>
  <conditionalFormatting sqref="B83:F86">
    <cfRule type="dataBar" priority="21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{8C09518F-F2EA-4B73-A9C5-03AE37BD49B6}</x14:id>
        </ext>
      </extLst>
    </cfRule>
  </conditionalFormatting>
  <conditionalFormatting sqref="B88:F92">
    <cfRule type="dataBar" priority="20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{79574AC6-6917-4312-98CF-04EC280A7D92}</x14:id>
        </ext>
      </extLst>
    </cfRule>
  </conditionalFormatting>
  <conditionalFormatting sqref="B88:F92">
    <cfRule type="dataBar" priority="21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{56058B99-943F-4EEE-9C5C-A02040CB1900}</x14:id>
        </ext>
      </extLst>
    </cfRule>
  </conditionalFormatting>
  <conditionalFormatting sqref="B89:F92">
    <cfRule type="dataBar" priority="20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{2A735A29-E8AF-44FD-AF59-3BE69EE63316}</x14:id>
        </ext>
      </extLst>
    </cfRule>
  </conditionalFormatting>
  <conditionalFormatting sqref="B94:F98">
    <cfRule type="dataBar" priority="20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{6F6D9E1C-993D-45BC-9B62-2AEA13B6E452}</x14:id>
        </ext>
      </extLst>
    </cfRule>
  </conditionalFormatting>
  <conditionalFormatting sqref="B94:F98">
    <cfRule type="dataBar" priority="20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{293C4E44-4511-43A4-BEE5-EEC4E1DCFBBD}</x14:id>
        </ext>
      </extLst>
    </cfRule>
  </conditionalFormatting>
  <conditionalFormatting sqref="B95:F98">
    <cfRule type="dataBar" priority="2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{DD31CAB6-FF9C-4E10-B34D-04252A78CCDF}</x14:id>
        </ext>
      </extLst>
    </cfRule>
  </conditionalFormatting>
  <conditionalFormatting sqref="B100:F104">
    <cfRule type="dataBar" priority="20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{0CC785ED-3756-460B-A848-597676CE46FB}</x14:id>
        </ext>
      </extLst>
    </cfRule>
  </conditionalFormatting>
  <conditionalFormatting sqref="B100:F104">
    <cfRule type="dataBar" priority="2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{FD67A1C4-D0CD-4E94-B8EB-9E399496C589}</x14:id>
        </ext>
      </extLst>
    </cfRule>
  </conditionalFormatting>
  <conditionalFormatting sqref="B101:F104">
    <cfRule type="dataBar" priority="20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{2C6F3524-918A-4961-B4DC-20FDB75C2FE5}</x14:id>
        </ext>
      </extLst>
    </cfRule>
  </conditionalFormatting>
  <conditionalFormatting sqref="B118:F122">
    <cfRule type="dataBar" priority="20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{FC041369-BCA3-46C1-B616-2C1DB90312F2}</x14:id>
        </ext>
      </extLst>
    </cfRule>
  </conditionalFormatting>
  <conditionalFormatting sqref="B118:F122">
    <cfRule type="dataBar" priority="20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{11707698-DB48-40B0-B1A6-610BF0E324AA}</x14:id>
        </ext>
      </extLst>
    </cfRule>
  </conditionalFormatting>
  <conditionalFormatting sqref="B119:F122">
    <cfRule type="dataBar" priority="19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{6CE5B2FF-4F2B-4D0B-A0D8-0A2FF27BE3E4}</x14:id>
        </ext>
      </extLst>
    </cfRule>
  </conditionalFormatting>
  <conditionalFormatting sqref="B124:F128">
    <cfRule type="dataBar" priority="19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{92DA5771-BEEC-44AA-9476-B3861542ACC1}</x14:id>
        </ext>
      </extLst>
    </cfRule>
  </conditionalFormatting>
  <conditionalFormatting sqref="B124:F128">
    <cfRule type="dataBar" priority="19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{83FAC5C2-928D-4AA2-89D4-DCA8A028287E}</x14:id>
        </ext>
      </extLst>
    </cfRule>
  </conditionalFormatting>
  <conditionalFormatting sqref="B125:F128">
    <cfRule type="dataBar" priority="19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{A4B46927-D3C7-4D8E-A87B-39A5CC79BC99}</x14:id>
        </ext>
      </extLst>
    </cfRule>
  </conditionalFormatting>
  <conditionalFormatting sqref="B130:F134">
    <cfRule type="dataBar" priority="19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{28B36ED8-9356-48B0-A65F-6CBECF809446}</x14:id>
        </ext>
      </extLst>
    </cfRule>
  </conditionalFormatting>
  <conditionalFormatting sqref="B130:F134">
    <cfRule type="dataBar" priority="19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{B7BE102E-8EF4-4668-8CAC-90ADABB121B6}</x14:id>
        </ext>
      </extLst>
    </cfRule>
  </conditionalFormatting>
  <conditionalFormatting sqref="B131:F134">
    <cfRule type="dataBar" priority="19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{76046A72-EE56-4083-8C1C-05807F55B33A}</x14:id>
        </ext>
      </extLst>
    </cfRule>
  </conditionalFormatting>
  <conditionalFormatting sqref="B136:F140">
    <cfRule type="dataBar" priority="19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{27944B2C-8002-447A-90CF-76E2709266BC}</x14:id>
        </ext>
      </extLst>
    </cfRule>
  </conditionalFormatting>
  <conditionalFormatting sqref="B136:F140">
    <cfRule type="dataBar" priority="19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{861E7BD2-1F34-4EF9-BC50-50482BCD7330}</x14:id>
        </ext>
      </extLst>
    </cfRule>
  </conditionalFormatting>
  <conditionalFormatting sqref="B137:F140">
    <cfRule type="dataBar" priority="19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{3357CA72-6164-4843-AD91-58627328A206}</x14:id>
        </ext>
      </extLst>
    </cfRule>
  </conditionalFormatting>
  <conditionalFormatting sqref="B152:F156">
    <cfRule type="dataBar" priority="18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{B0C386A2-2A53-4E8A-A444-606E0C270A16}</x14:id>
        </ext>
      </extLst>
    </cfRule>
  </conditionalFormatting>
  <conditionalFormatting sqref="B152:F156">
    <cfRule type="dataBar" priority="18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{F0A74D31-1AC3-4215-AA49-2A9936C332DD}</x14:id>
        </ext>
      </extLst>
    </cfRule>
  </conditionalFormatting>
  <conditionalFormatting sqref="B153:F156">
    <cfRule type="dataBar" priority="18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{AD74EB57-F167-48A9-B7EF-1374A4D52BD0}</x14:id>
        </ext>
      </extLst>
    </cfRule>
  </conditionalFormatting>
  <conditionalFormatting sqref="B158:F162">
    <cfRule type="dataBar" priority="18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{7B95FACF-BD98-4191-AA68-3B6820914DBC}</x14:id>
        </ext>
      </extLst>
    </cfRule>
  </conditionalFormatting>
  <conditionalFormatting sqref="B158:F162">
    <cfRule type="dataBar" priority="18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{5E8D98A4-3A10-461E-BAED-7D31E408F39D}</x14:id>
        </ext>
      </extLst>
    </cfRule>
  </conditionalFormatting>
  <conditionalFormatting sqref="B159:F162">
    <cfRule type="dataBar" priority="18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{C8DFE745-8C3D-4B2A-85D4-53A46A86A907}</x14:id>
        </ext>
      </extLst>
    </cfRule>
  </conditionalFormatting>
  <conditionalFormatting sqref="B164:F168">
    <cfRule type="dataBar" priority="18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{117B4A31-CC20-4095-862B-4B14CB7F2158}</x14:id>
        </ext>
      </extLst>
    </cfRule>
  </conditionalFormatting>
  <conditionalFormatting sqref="B164:F168">
    <cfRule type="dataBar" priority="18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{3294CDAA-264B-40C9-8CA1-7F693EF2535A}</x14:id>
        </ext>
      </extLst>
    </cfRule>
  </conditionalFormatting>
  <conditionalFormatting sqref="B165:F168">
    <cfRule type="dataBar" priority="18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{B58337B2-088A-4C6A-B894-9B3F29B3701A}</x14:id>
        </ext>
      </extLst>
    </cfRule>
  </conditionalFormatting>
  <conditionalFormatting sqref="B170:F174">
    <cfRule type="dataBar" priority="17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{A579666B-4C2E-4369-A7D0-FB761FCE2FA3}</x14:id>
        </ext>
      </extLst>
    </cfRule>
  </conditionalFormatting>
  <conditionalFormatting sqref="B170:F174">
    <cfRule type="dataBar" priority="18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{5B3D4BFB-2110-450D-9460-545F6351EE84}</x14:id>
        </ext>
      </extLst>
    </cfRule>
  </conditionalFormatting>
  <conditionalFormatting sqref="B171:F174">
    <cfRule type="dataBar" priority="17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{7FD307C6-C69C-4A24-869A-688DFEDCF1AD}</x14:id>
        </ext>
      </extLst>
    </cfRule>
  </conditionalFormatting>
  <conditionalFormatting sqref="B186:F190">
    <cfRule type="dataBar" priority="17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{FCC63129-E115-49E1-A6F9-910107104D40}</x14:id>
        </ext>
      </extLst>
    </cfRule>
  </conditionalFormatting>
  <conditionalFormatting sqref="B186:F190">
    <cfRule type="dataBar" priority="17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{893056A1-2C6A-4D5F-B993-01123E64E62D}</x14:id>
        </ext>
      </extLst>
    </cfRule>
  </conditionalFormatting>
  <conditionalFormatting sqref="B187:F190">
    <cfRule type="dataBar" priority="17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{C2361D05-84D9-48E8-B156-3FCD4F7943B2}</x14:id>
        </ext>
      </extLst>
    </cfRule>
  </conditionalFormatting>
  <conditionalFormatting sqref="B192:F196">
    <cfRule type="dataBar" priority="17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{AFF47D2F-D753-4B56-AAAC-9B189E054D71}</x14:id>
        </ext>
      </extLst>
    </cfRule>
  </conditionalFormatting>
  <conditionalFormatting sqref="B192:F196">
    <cfRule type="dataBar" priority="17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{F411DA3F-DDB0-48B2-95D4-E568ADD6864F}</x14:id>
        </ext>
      </extLst>
    </cfRule>
  </conditionalFormatting>
  <conditionalFormatting sqref="B193:F196">
    <cfRule type="dataBar" priority="17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{652D0F45-4098-4C07-B9B4-C279C6EF060D}</x14:id>
        </ext>
      </extLst>
    </cfRule>
  </conditionalFormatting>
  <conditionalFormatting sqref="B198:F202">
    <cfRule type="dataBar" priority="17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{D3F9A751-9424-45AF-BBB9-D4ABDBA819D4}</x14:id>
        </ext>
      </extLst>
    </cfRule>
  </conditionalFormatting>
  <conditionalFormatting sqref="B198:F202">
    <cfRule type="dataBar" priority="17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{3BA5819B-A62C-4A0E-AECD-89791AC3779B}</x14:id>
        </ext>
      </extLst>
    </cfRule>
  </conditionalFormatting>
  <conditionalFormatting sqref="B199:F202">
    <cfRule type="dataBar" priority="16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{CCCCD969-8012-4CF3-A2C1-8DEDC1A31D88}</x14:id>
        </ext>
      </extLst>
    </cfRule>
  </conditionalFormatting>
  <conditionalFormatting sqref="B204:F208">
    <cfRule type="dataBar" priority="16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{6D8C079A-69A1-4078-8299-15E0C6B63C58}</x14:id>
        </ext>
      </extLst>
    </cfRule>
  </conditionalFormatting>
  <conditionalFormatting sqref="B204:F208">
    <cfRule type="dataBar" priority="16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{E0C592B4-ADAF-4B26-A357-1112445E0166}</x14:id>
        </ext>
      </extLst>
    </cfRule>
  </conditionalFormatting>
  <conditionalFormatting sqref="B205:F208">
    <cfRule type="dataBar" priority="16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{4EBC7D17-D3EB-4042-9557-6EB1950B773B}</x14:id>
        </ext>
      </extLst>
    </cfRule>
  </conditionalFormatting>
  <conditionalFormatting sqref="B222:F226">
    <cfRule type="dataBar" priority="16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{4BC93750-BCE9-429E-9F3F-E944DEAEE5EC}</x14:id>
        </ext>
      </extLst>
    </cfRule>
  </conditionalFormatting>
  <conditionalFormatting sqref="B222:F226">
    <cfRule type="dataBar" priority="16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{485F1B95-58A0-41FD-8400-42BA1D28D7C9}</x14:id>
        </ext>
      </extLst>
    </cfRule>
  </conditionalFormatting>
  <conditionalFormatting sqref="B223:F226">
    <cfRule type="dataBar" priority="16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{50EF8ADE-F7F6-4932-879E-9F179127B56D}</x14:id>
        </ext>
      </extLst>
    </cfRule>
  </conditionalFormatting>
  <conditionalFormatting sqref="B228:F232">
    <cfRule type="dataBar" priority="16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{733E29C8-0A0F-4EC4-998E-61E6CC974D9D}</x14:id>
        </ext>
      </extLst>
    </cfRule>
  </conditionalFormatting>
  <conditionalFormatting sqref="B228:F232">
    <cfRule type="dataBar" priority="16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{E02014A1-574A-4C83-8334-2A20D04F2A11}</x14:id>
        </ext>
      </extLst>
    </cfRule>
  </conditionalFormatting>
  <conditionalFormatting sqref="B229:F232">
    <cfRule type="dataBar" priority="16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{DD3247C1-60BF-4EBC-9F81-9EF230A9690B}</x14:id>
        </ext>
      </extLst>
    </cfRule>
  </conditionalFormatting>
  <conditionalFormatting sqref="B234:F238">
    <cfRule type="dataBar" priority="15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{AAA1AD5E-E4C3-4D01-9960-94F0109D73CD}</x14:id>
        </ext>
      </extLst>
    </cfRule>
  </conditionalFormatting>
  <conditionalFormatting sqref="B234:F238">
    <cfRule type="dataBar" priority="15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{228A3084-4058-4F19-97FD-5CC5D44F35F2}</x14:id>
        </ext>
      </extLst>
    </cfRule>
  </conditionalFormatting>
  <conditionalFormatting sqref="B235:F238">
    <cfRule type="dataBar" priority="15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{716879EB-AB80-420E-BAE0-3EB1D4C6C2D8}</x14:id>
        </ext>
      </extLst>
    </cfRule>
  </conditionalFormatting>
  <conditionalFormatting sqref="B240:F244">
    <cfRule type="dataBar" priority="15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{61439256-138B-4241-A6AF-EE28174EB8FC}</x14:id>
        </ext>
      </extLst>
    </cfRule>
  </conditionalFormatting>
  <conditionalFormatting sqref="B240:F244">
    <cfRule type="dataBar" priority="15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{F49D6883-8F88-4A30-8EC6-5734EB509806}</x14:id>
        </ext>
      </extLst>
    </cfRule>
  </conditionalFormatting>
  <conditionalFormatting sqref="B241:F244">
    <cfRule type="dataBar" priority="15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{7E9C789F-2A2F-451C-8EB3-FDC67AF8797B}</x14:id>
        </ext>
      </extLst>
    </cfRule>
  </conditionalFormatting>
  <conditionalFormatting sqref="B256:F260">
    <cfRule type="dataBar" priority="15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{54F37334-626E-486D-8105-3665A4B5EC62}</x14:id>
        </ext>
      </extLst>
    </cfRule>
  </conditionalFormatting>
  <conditionalFormatting sqref="B256:F260">
    <cfRule type="dataBar" priority="15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{AAFB00EF-95F6-41E8-B5DB-23AB5CFE3181}</x14:id>
        </ext>
      </extLst>
    </cfRule>
  </conditionalFormatting>
  <conditionalFormatting sqref="B257:F260">
    <cfRule type="dataBar" priority="15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{A30952D0-229D-4F05-9312-A92BD25BF5D3}</x14:id>
        </ext>
      </extLst>
    </cfRule>
  </conditionalFormatting>
  <conditionalFormatting sqref="B262:F266">
    <cfRule type="dataBar" priority="14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{14C586C7-E398-4CDF-BC16-87F80814AB96}</x14:id>
        </ext>
      </extLst>
    </cfRule>
  </conditionalFormatting>
  <conditionalFormatting sqref="B262:F266">
    <cfRule type="dataBar" priority="15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{E5ADF2A2-6166-4FD0-8915-2298167556B8}</x14:id>
        </ext>
      </extLst>
    </cfRule>
  </conditionalFormatting>
  <conditionalFormatting sqref="B263:F266">
    <cfRule type="dataBar" priority="14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{9C7D7947-CC27-48AF-A2CC-6EA4104C0A4B}</x14:id>
        </ext>
      </extLst>
    </cfRule>
  </conditionalFormatting>
  <conditionalFormatting sqref="B268:F272">
    <cfRule type="dataBar" priority="14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{FB21877A-D3C0-467A-A982-B1AC17C490B2}</x14:id>
        </ext>
      </extLst>
    </cfRule>
  </conditionalFormatting>
  <conditionalFormatting sqref="B268:F272">
    <cfRule type="dataBar" priority="14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{77C1F1EE-5A30-4AFD-B31C-4D898F902881}</x14:id>
        </ext>
      </extLst>
    </cfRule>
  </conditionalFormatting>
  <conditionalFormatting sqref="B269:F272">
    <cfRule type="dataBar" priority="14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{FC83F51E-C772-40AB-8064-75E00B68AE58}</x14:id>
        </ext>
      </extLst>
    </cfRule>
  </conditionalFormatting>
  <conditionalFormatting sqref="B274:F278">
    <cfRule type="dataBar" priority="14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{2B445F80-E7EF-4755-B5DB-FE2214A35F38}</x14:id>
        </ext>
      </extLst>
    </cfRule>
  </conditionalFormatting>
  <conditionalFormatting sqref="B274:F278">
    <cfRule type="dataBar" priority="14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{3A22D9BE-BD25-4366-B01A-A171E33892A6}</x14:id>
        </ext>
      </extLst>
    </cfRule>
  </conditionalFormatting>
  <conditionalFormatting sqref="B275:F278">
    <cfRule type="dataBar" priority="14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{1334F34F-33B1-48ED-9E51-FB1BFBDFEFC8}</x14:id>
        </ext>
      </extLst>
    </cfRule>
  </conditionalFormatting>
  <conditionalFormatting sqref="B290:F294">
    <cfRule type="dataBar" priority="14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{A452A4FB-5153-4D77-B964-033DC0FF55BD}</x14:id>
        </ext>
      </extLst>
    </cfRule>
  </conditionalFormatting>
  <conditionalFormatting sqref="B290:F294">
    <cfRule type="dataBar" priority="14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{97C11463-1964-4D8B-A574-33F3BABD67DD}</x14:id>
        </ext>
      </extLst>
    </cfRule>
  </conditionalFormatting>
  <conditionalFormatting sqref="B291:F294">
    <cfRule type="dataBar" priority="13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{06D3B742-A686-4263-AECE-BA29FEB93AAB}</x14:id>
        </ext>
      </extLst>
    </cfRule>
  </conditionalFormatting>
  <conditionalFormatting sqref="B296:F300">
    <cfRule type="dataBar" priority="13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{210CE30F-76FB-4F71-BC3B-745A8A6CF785}</x14:id>
        </ext>
      </extLst>
    </cfRule>
  </conditionalFormatting>
  <conditionalFormatting sqref="B296:F300">
    <cfRule type="dataBar" priority="13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{37384C1C-157F-426F-A649-CF61B7643577}</x14:id>
        </ext>
      </extLst>
    </cfRule>
  </conditionalFormatting>
  <conditionalFormatting sqref="B297:F300">
    <cfRule type="dataBar" priority="13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{459F3D7D-A3DE-41E0-8614-79B90B8C306E}</x14:id>
        </ext>
      </extLst>
    </cfRule>
  </conditionalFormatting>
  <conditionalFormatting sqref="B302:F306">
    <cfRule type="dataBar" priority="13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{D6958122-CAC2-434C-9173-16CB6FFBFE8F}</x14:id>
        </ext>
      </extLst>
    </cfRule>
  </conditionalFormatting>
  <conditionalFormatting sqref="B302:F306">
    <cfRule type="dataBar" priority="13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{56B2FF86-753C-4EFB-BE81-D604510B7C51}</x14:id>
        </ext>
      </extLst>
    </cfRule>
  </conditionalFormatting>
  <conditionalFormatting sqref="B303:F306">
    <cfRule type="dataBar" priority="13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{4EA7B96F-EB42-4004-A3D1-DEF5C2D69B26}</x14:id>
        </ext>
      </extLst>
    </cfRule>
  </conditionalFormatting>
  <conditionalFormatting sqref="B308:F312">
    <cfRule type="dataBar" priority="13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{699B2DF9-87A6-4918-9354-6EB0299DB333}</x14:id>
        </ext>
      </extLst>
    </cfRule>
  </conditionalFormatting>
  <conditionalFormatting sqref="B308:F312">
    <cfRule type="dataBar" priority="13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{3992E357-A632-4F7A-91C8-916D1180A9C1}</x14:id>
        </ext>
      </extLst>
    </cfRule>
  </conditionalFormatting>
  <conditionalFormatting sqref="B309:F312">
    <cfRule type="dataBar" priority="13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{F7D34147-20C5-4B17-9C14-31DD0CDE9B77}</x14:id>
        </ext>
      </extLst>
    </cfRule>
  </conditionalFormatting>
  <conditionalFormatting sqref="B326:F330">
    <cfRule type="dataBar" priority="12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{0C95C682-3004-4A18-8E2A-E63DE47D2989}</x14:id>
        </ext>
      </extLst>
    </cfRule>
  </conditionalFormatting>
  <conditionalFormatting sqref="B326:F330">
    <cfRule type="dataBar" priority="12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{679A28C5-E7CD-42A6-8BFE-7674D3D5322C}</x14:id>
        </ext>
      </extLst>
    </cfRule>
  </conditionalFormatting>
  <conditionalFormatting sqref="B327:F330">
    <cfRule type="dataBar" priority="12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{B4EA14C3-48A8-4EAF-AC19-53324766B3DC}</x14:id>
        </ext>
      </extLst>
    </cfRule>
  </conditionalFormatting>
  <conditionalFormatting sqref="B332:F336">
    <cfRule type="dataBar" priority="12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{D27639F7-F1BD-4708-8E88-D166FAA38DF6}</x14:id>
        </ext>
      </extLst>
    </cfRule>
  </conditionalFormatting>
  <conditionalFormatting sqref="B332:F336">
    <cfRule type="dataBar" priority="12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{B0EBC63D-ABB8-493A-90E1-5B6567C97A4B}</x14:id>
        </ext>
      </extLst>
    </cfRule>
  </conditionalFormatting>
  <conditionalFormatting sqref="B333:F336">
    <cfRule type="dataBar" priority="12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{E6E17400-E3BC-444F-93F2-ABF1129B7677}</x14:id>
        </ext>
      </extLst>
    </cfRule>
  </conditionalFormatting>
  <conditionalFormatting sqref="B338:F342">
    <cfRule type="dataBar" priority="12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{A0AF830C-49C8-4967-A693-B20724C4FC70}</x14:id>
        </ext>
      </extLst>
    </cfRule>
  </conditionalFormatting>
  <conditionalFormatting sqref="B338:F342">
    <cfRule type="dataBar" priority="12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{EEC7B222-FE7E-4805-86D0-6691B52BE3A3}</x14:id>
        </ext>
      </extLst>
    </cfRule>
  </conditionalFormatting>
  <conditionalFormatting sqref="B339:F342">
    <cfRule type="dataBar" priority="12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{8D574B7C-E992-47ED-B3D7-A751014EA4CA}</x14:id>
        </ext>
      </extLst>
    </cfRule>
  </conditionalFormatting>
  <conditionalFormatting sqref="B344:F348">
    <cfRule type="dataBar" priority="11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{23ECEA19-B836-4F7D-A036-1A5DFAB9BD22}</x14:id>
        </ext>
      </extLst>
    </cfRule>
  </conditionalFormatting>
  <conditionalFormatting sqref="B344:F348">
    <cfRule type="dataBar" priority="12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{62873B43-FA98-464A-8229-7B0D49391D5C}</x14:id>
        </ext>
      </extLst>
    </cfRule>
  </conditionalFormatting>
  <conditionalFormatting sqref="B345:F348">
    <cfRule type="dataBar" priority="11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{2978FBDA-0D71-4DC0-A45D-8C61C900C989}</x14:id>
        </ext>
      </extLst>
    </cfRule>
  </conditionalFormatting>
  <conditionalFormatting sqref="B360:F364">
    <cfRule type="dataBar" priority="11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{8578670E-9F03-43BD-BC91-698C86F879DC}</x14:id>
        </ext>
      </extLst>
    </cfRule>
  </conditionalFormatting>
  <conditionalFormatting sqref="B360:F364">
    <cfRule type="dataBar" priority="11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{7A408259-DE1D-40E4-A948-21FF7D613F30}</x14:id>
        </ext>
      </extLst>
    </cfRule>
  </conditionalFormatting>
  <conditionalFormatting sqref="B361:F364">
    <cfRule type="dataBar" priority="11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{8381C1CE-3D79-49E9-94AA-520180E738C3}</x14:id>
        </ext>
      </extLst>
    </cfRule>
  </conditionalFormatting>
  <conditionalFormatting sqref="B366:F370">
    <cfRule type="dataBar" priority="11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{C57C8C6E-88BC-47B5-97BB-D94EFB3B6F69}</x14:id>
        </ext>
      </extLst>
    </cfRule>
  </conditionalFormatting>
  <conditionalFormatting sqref="B366:F370">
    <cfRule type="dataBar" priority="11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{5DBB743C-5922-463E-B3A9-299ABFE2A7AB}</x14:id>
        </ext>
      </extLst>
    </cfRule>
  </conditionalFormatting>
  <conditionalFormatting sqref="B367:F370">
    <cfRule type="dataBar" priority="11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{916A9A2A-3498-4968-ADD3-E4C7E0FA7838}</x14:id>
        </ext>
      </extLst>
    </cfRule>
  </conditionalFormatting>
  <conditionalFormatting sqref="B372:F376">
    <cfRule type="dataBar" priority="11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{B9F72B0B-DFA2-4619-8649-5420556A15E5}</x14:id>
        </ext>
      </extLst>
    </cfRule>
  </conditionalFormatting>
  <conditionalFormatting sqref="B372:F376">
    <cfRule type="dataBar" priority="11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{85267753-CBB9-43C2-9429-2B0C83BFEE53}</x14:id>
        </ext>
      </extLst>
    </cfRule>
  </conditionalFormatting>
  <conditionalFormatting sqref="B373:F376">
    <cfRule type="dataBar" priority="10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{C473AC71-DB26-4240-BFC8-86C91D9F35B8}</x14:id>
        </ext>
      </extLst>
    </cfRule>
  </conditionalFormatting>
  <conditionalFormatting sqref="B378:F382">
    <cfRule type="dataBar" priority="10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{0053B47D-714E-4319-BF3A-79868DCF08E7}</x14:id>
        </ext>
      </extLst>
    </cfRule>
  </conditionalFormatting>
  <conditionalFormatting sqref="B378:F382">
    <cfRule type="dataBar" priority="10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{123B0259-1E96-4DA9-B7F6-104AB712F2B4}</x14:id>
        </ext>
      </extLst>
    </cfRule>
  </conditionalFormatting>
  <conditionalFormatting sqref="B379:F382">
    <cfRule type="dataBar" priority="10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{982633CA-B572-4237-B4A1-56E78B9D663D}</x14:id>
        </ext>
      </extLst>
    </cfRule>
  </conditionalFormatting>
  <conditionalFormatting sqref="B394:F398">
    <cfRule type="dataBar" priority="10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{74595840-760C-4D59-A781-B03A6A47040C}</x14:id>
        </ext>
      </extLst>
    </cfRule>
  </conditionalFormatting>
  <conditionalFormatting sqref="B394:F398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{794D3604-51BC-4503-B85B-C829D6DEF43C}</x14:id>
        </ext>
      </extLst>
    </cfRule>
  </conditionalFormatting>
  <conditionalFormatting sqref="B395:F398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{35E27B50-E4D3-424A-8614-EB0806D433BA}</x14:id>
        </ext>
      </extLst>
    </cfRule>
  </conditionalFormatting>
  <conditionalFormatting sqref="B400:F404">
    <cfRule type="dataBar" priority="10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{85A4A551-C01B-45A0-80D4-2367E057325A}</x14:id>
        </ext>
      </extLst>
    </cfRule>
  </conditionalFormatting>
  <conditionalFormatting sqref="B400:F404">
    <cfRule type="dataBar" priority="10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{3CB607B0-EE7E-4B04-9923-63FD18307F45}</x14:id>
        </ext>
      </extLst>
    </cfRule>
  </conditionalFormatting>
  <conditionalFormatting sqref="B401:F404">
    <cfRule type="dataBar" priority="10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{32DD5DE0-2F6D-4C4A-ACA0-411BC19B1EFC}</x14:id>
        </ext>
      </extLst>
    </cfRule>
  </conditionalFormatting>
  <conditionalFormatting sqref="B406:F410">
    <cfRule type="dataBar" priority="9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{77C3D12A-7D21-4690-B615-7F7847E909C3}</x14:id>
        </ext>
      </extLst>
    </cfRule>
  </conditionalFormatting>
  <conditionalFormatting sqref="B406:F410">
    <cfRule type="dataBar" priority="9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{8776A445-5238-4361-A76C-6118774D7AFA}</x14:id>
        </ext>
      </extLst>
    </cfRule>
  </conditionalFormatting>
  <conditionalFormatting sqref="B407:F410">
    <cfRule type="dataBar" priority="9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{29A27A0F-0398-491C-81C5-5F306890B1CD}</x14:id>
        </ext>
      </extLst>
    </cfRule>
  </conditionalFormatting>
  <conditionalFormatting sqref="B412:F416">
    <cfRule type="dataBar" priority="9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{55591BDA-119E-4459-BB06-1E44774631BD}</x14:id>
        </ext>
      </extLst>
    </cfRule>
  </conditionalFormatting>
  <conditionalFormatting sqref="B412:F416">
    <cfRule type="dataBar" priority="9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{4B3F0060-A262-4E86-9F4F-BEACA1135E4F}</x14:id>
        </ext>
      </extLst>
    </cfRule>
  </conditionalFormatting>
  <conditionalFormatting sqref="B413:F416">
    <cfRule type="dataBar" priority="9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{749B4761-9130-40DC-AD13-2BF9702FFD66}</x14:id>
        </ext>
      </extLst>
    </cfRule>
  </conditionalFormatting>
  <conditionalFormatting sqref="B430:F434">
    <cfRule type="dataBar" priority="9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{4F9A51EF-3BA0-40D4-BCBE-6F633139ED62}</x14:id>
        </ext>
      </extLst>
    </cfRule>
  </conditionalFormatting>
  <conditionalFormatting sqref="B430:F434">
    <cfRule type="dataBar" priority="9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{5E216D02-7A85-4D27-B0E9-D8F25DCC3A7A}</x14:id>
        </ext>
      </extLst>
    </cfRule>
  </conditionalFormatting>
  <conditionalFormatting sqref="B431:F434">
    <cfRule type="dataBar" priority="9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{C3CEA4A5-6758-4FF6-9088-CCA7923A45DD}</x14:id>
        </ext>
      </extLst>
    </cfRule>
  </conditionalFormatting>
  <conditionalFormatting sqref="B436:F440">
    <cfRule type="dataBar" priority="8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{37F8E2BB-91D1-4F67-94AF-638D62F5D080}</x14:id>
        </ext>
      </extLst>
    </cfRule>
  </conditionalFormatting>
  <conditionalFormatting sqref="B436:F440">
    <cfRule type="dataBar" priority="9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{5A1CF2C6-CDE6-4E68-A1E6-1213AA249966}</x14:id>
        </ext>
      </extLst>
    </cfRule>
  </conditionalFormatting>
  <conditionalFormatting sqref="B437:F440">
    <cfRule type="dataBar" priority="8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{034DF057-8AD2-40DC-8E19-23E6B9508897}</x14:id>
        </ext>
      </extLst>
    </cfRule>
  </conditionalFormatting>
  <conditionalFormatting sqref="B442:F446">
    <cfRule type="dataBar" priority="8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{CFCEDC11-A5E4-4240-878A-D8C01415F6DF}</x14:id>
        </ext>
      </extLst>
    </cfRule>
  </conditionalFormatting>
  <conditionalFormatting sqref="B442:F446">
    <cfRule type="dataBar" priority="8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{DA0361E0-FEE1-45B6-9779-F65702DB0A3A}</x14:id>
        </ext>
      </extLst>
    </cfRule>
  </conditionalFormatting>
  <conditionalFormatting sqref="B443:F446">
    <cfRule type="dataBar" priority="8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{91395713-5854-46AF-8FC9-BCFC797ACA54}</x14:id>
        </ext>
      </extLst>
    </cfRule>
  </conditionalFormatting>
  <conditionalFormatting sqref="B448:F452">
    <cfRule type="dataBar" priority="8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{F35356C1-19AE-4616-B682-0CD27EAD1D79}</x14:id>
        </ext>
      </extLst>
    </cfRule>
  </conditionalFormatting>
  <conditionalFormatting sqref="B448:F452">
    <cfRule type="dataBar" priority="8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{9E07372C-59FD-4117-BDE9-B78C32622DFE}</x14:id>
        </ext>
      </extLst>
    </cfRule>
  </conditionalFormatting>
  <conditionalFormatting sqref="B449:F452">
    <cfRule type="dataBar" priority="8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{4EA56B67-5E5F-4B7A-94ED-DA668EE70D75}</x14:id>
        </ext>
      </extLst>
    </cfRule>
  </conditionalFormatting>
  <conditionalFormatting sqref="B464:F468">
    <cfRule type="dataBar" priority="80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{32EAF734-879E-41B4-8A89-8AD79C0E7A04}</x14:id>
        </ext>
      </extLst>
    </cfRule>
  </conditionalFormatting>
  <conditionalFormatting sqref="B464:F468">
    <cfRule type="dataBar" priority="8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{A17BA49C-22B8-465F-A7E9-49A3C6FAF98B}</x14:id>
        </ext>
      </extLst>
    </cfRule>
  </conditionalFormatting>
  <conditionalFormatting sqref="B465:F468">
    <cfRule type="dataBar" priority="7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{DC4B4CE7-FCB0-4D85-A9B3-490E5B4E90E9}</x14:id>
        </ext>
      </extLst>
    </cfRule>
  </conditionalFormatting>
  <conditionalFormatting sqref="B470:F474">
    <cfRule type="dataBar" priority="7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{C139F000-4066-4433-B4C9-20030ADB1AD8}</x14:id>
        </ext>
      </extLst>
    </cfRule>
  </conditionalFormatting>
  <conditionalFormatting sqref="B470:F474">
    <cfRule type="dataBar" priority="7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{7EF257B6-74DE-43BD-B6EA-680251D44EF8}</x14:id>
        </ext>
      </extLst>
    </cfRule>
  </conditionalFormatting>
  <conditionalFormatting sqref="B471:F474">
    <cfRule type="dataBar" priority="7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{73217007-5BE6-4078-8D5D-A58B18C43F98}</x14:id>
        </ext>
      </extLst>
    </cfRule>
  </conditionalFormatting>
  <conditionalFormatting sqref="B476:F480">
    <cfRule type="dataBar" priority="7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{4783EFDC-D798-4BA0-9D40-D2F95DC0B7AC}</x14:id>
        </ext>
      </extLst>
    </cfRule>
  </conditionalFormatting>
  <conditionalFormatting sqref="B476:F480">
    <cfRule type="dataBar" priority="7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{105C2568-9173-4A38-B565-692BA7CBFDEE}</x14:id>
        </ext>
      </extLst>
    </cfRule>
  </conditionalFormatting>
  <conditionalFormatting sqref="B477:F480">
    <cfRule type="dataBar" priority="7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{B38A9A15-3968-4720-A8DF-C69A0B5ECE44}</x14:id>
        </ext>
      </extLst>
    </cfRule>
  </conditionalFormatting>
  <conditionalFormatting sqref="B482:F486">
    <cfRule type="dataBar" priority="7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{3537503A-D68F-483A-B3D0-A0BB19961A15}</x14:id>
        </ext>
      </extLst>
    </cfRule>
  </conditionalFormatting>
  <conditionalFormatting sqref="B482:F486">
    <cfRule type="dataBar" priority="7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{43D121D2-B3D6-4976-813F-A26A0D82760A}</x14:id>
        </ext>
      </extLst>
    </cfRule>
  </conditionalFormatting>
  <conditionalFormatting sqref="B483:F486">
    <cfRule type="dataBar" priority="7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{69983E65-7868-4EC2-8319-0927BA31DF38}</x14:id>
        </ext>
      </extLst>
    </cfRule>
  </conditionalFormatting>
  <conditionalFormatting sqref="B498:F502">
    <cfRule type="dataBar" priority="6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{3D3C15A3-BC01-4958-869D-29517414409E}</x14:id>
        </ext>
      </extLst>
    </cfRule>
  </conditionalFormatting>
  <conditionalFormatting sqref="B498:F502">
    <cfRule type="dataBar" priority="6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{500B7772-83A9-496B-8487-F6550683A364}</x14:id>
        </ext>
      </extLst>
    </cfRule>
  </conditionalFormatting>
  <conditionalFormatting sqref="B499:F502">
    <cfRule type="dataBar" priority="6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{1B398919-A3E2-4B56-9E52-2E323EE2E77C}</x14:id>
        </ext>
      </extLst>
    </cfRule>
  </conditionalFormatting>
  <conditionalFormatting sqref="B504:F508">
    <cfRule type="dataBar" priority="6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{8362A01D-BFC1-4568-8C4B-0AB77E226D49}</x14:id>
        </ext>
      </extLst>
    </cfRule>
  </conditionalFormatting>
  <conditionalFormatting sqref="B504:F508">
    <cfRule type="dataBar" priority="6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{23651B8E-42A3-49C8-97C2-A5AD625F0235}</x14:id>
        </ext>
      </extLst>
    </cfRule>
  </conditionalFormatting>
  <conditionalFormatting sqref="B505:F508">
    <cfRule type="dataBar" priority="6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{79590F61-8BD6-4359-8A29-F890DBEF7473}</x14:id>
        </ext>
      </extLst>
    </cfRule>
  </conditionalFormatting>
  <conditionalFormatting sqref="B510:F514">
    <cfRule type="dataBar" priority="62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{856B5B1E-6755-451D-ADD1-010F61E45A43}</x14:id>
        </ext>
      </extLst>
    </cfRule>
  </conditionalFormatting>
  <conditionalFormatting sqref="B510:F514">
    <cfRule type="dataBar" priority="6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{DFCA5824-F3AB-487D-B52C-F1058A4DE17A}</x14:id>
        </ext>
      </extLst>
    </cfRule>
  </conditionalFormatting>
  <conditionalFormatting sqref="B511:F514">
    <cfRule type="dataBar" priority="6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{82A330D5-293E-4406-A40C-26E555943C6E}</x14:id>
        </ext>
      </extLst>
    </cfRule>
  </conditionalFormatting>
  <conditionalFormatting sqref="B516:F520">
    <cfRule type="dataBar" priority="5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{D7AB3C46-9581-4091-8FA3-1ADA3CDE988C}</x14:id>
        </ext>
      </extLst>
    </cfRule>
  </conditionalFormatting>
  <conditionalFormatting sqref="B516:F520">
    <cfRule type="dataBar" priority="6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{3D2BBFF6-3BCF-4C28-82DD-DAC7434AC7A7}</x14:id>
        </ext>
      </extLst>
    </cfRule>
  </conditionalFormatting>
  <conditionalFormatting sqref="B517:F520">
    <cfRule type="dataBar" priority="5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{E2D576C5-A6E0-4883-97E8-53915F6A523D}</x14:id>
        </ext>
      </extLst>
    </cfRule>
  </conditionalFormatting>
  <conditionalFormatting sqref="B8:F11">
    <cfRule type="dataBar" priority="2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{3DE26A50-08D3-4267-B963-3F34B4799D69}</x14:id>
        </ext>
      </extLst>
    </cfRule>
  </conditionalFormatting>
  <conditionalFormatting sqref="B8:F11">
    <cfRule type="dataBar" priority="3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{3821D711-E4BA-4AB0-B431-14D608D68361}</x14:id>
        </ext>
      </extLst>
    </cfRule>
  </conditionalFormatting>
  <conditionalFormatting sqref="B42:F45">
    <cfRule type="dataBar" priority="2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{1F0E4F29-E6D3-40B1-A3CD-12B3DC5A816D}</x14:id>
        </ext>
      </extLst>
    </cfRule>
  </conditionalFormatting>
  <conditionalFormatting sqref="B42:F45">
    <cfRule type="dataBar" priority="2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{067DEB2D-326C-406E-9D40-4C56C0D60D52}</x14:id>
        </ext>
      </extLst>
    </cfRule>
  </conditionalFormatting>
  <conditionalFormatting sqref="B76:F79">
    <cfRule type="dataBar" priority="2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{55341093-1F0F-4851-AE63-E7EDA7B3A38E}</x14:id>
        </ext>
      </extLst>
    </cfRule>
  </conditionalFormatting>
  <conditionalFormatting sqref="B76:F79">
    <cfRule type="dataBar" priority="2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{65D9ECB8-E24F-4934-8E52-E011CC417C60}</x14:id>
        </ext>
      </extLst>
    </cfRule>
  </conditionalFormatting>
  <conditionalFormatting sqref="B112:F115">
    <cfRule type="dataBar" priority="2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{9D8A69EF-CC75-41F7-AEC9-E92A34AB7530}</x14:id>
        </ext>
      </extLst>
    </cfRule>
  </conditionalFormatting>
  <conditionalFormatting sqref="B112:F115">
    <cfRule type="dataBar" priority="2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{FBB4553B-CF86-41DE-8211-B82C4EB4F21F}</x14:id>
        </ext>
      </extLst>
    </cfRule>
  </conditionalFormatting>
  <conditionalFormatting sqref="B146:F149">
    <cfRule type="dataBar" priority="2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{21180AEE-5AF7-4808-B695-E082FD380440}</x14:id>
        </ext>
      </extLst>
    </cfRule>
  </conditionalFormatting>
  <conditionalFormatting sqref="B146:F149">
    <cfRule type="dataBar" priority="2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{9CC0196D-6B56-44BB-ADD2-3C393AE2983E}</x14:id>
        </ext>
      </extLst>
    </cfRule>
  </conditionalFormatting>
  <conditionalFormatting sqref="B180:F183">
    <cfRule type="dataBar" priority="1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{C8B16287-C8F2-4F98-A1F7-14733D2C894F}</x14:id>
        </ext>
      </extLst>
    </cfRule>
  </conditionalFormatting>
  <conditionalFormatting sqref="B180:F183">
    <cfRule type="dataBar" priority="2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{460C28E8-21BA-49D9-A83D-9115F2D2A4D2}</x14:id>
        </ext>
      </extLst>
    </cfRule>
  </conditionalFormatting>
  <conditionalFormatting sqref="B216:F219">
    <cfRule type="dataBar" priority="1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{E928E4F0-B991-471A-AB42-D838E1F864ED}</x14:id>
        </ext>
      </extLst>
    </cfRule>
  </conditionalFormatting>
  <conditionalFormatting sqref="B216:F219">
    <cfRule type="dataBar" priority="1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{DAC51215-67CF-428E-9141-D2DEBC94A28B}</x14:id>
        </ext>
      </extLst>
    </cfRule>
  </conditionalFormatting>
  <conditionalFormatting sqref="B250:F253">
    <cfRule type="dataBar" priority="1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{6AA72312-B729-4F44-A6F3-49165E8A36F7}</x14:id>
        </ext>
      </extLst>
    </cfRule>
  </conditionalFormatting>
  <conditionalFormatting sqref="B250:F253">
    <cfRule type="dataBar" priority="1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{C8587452-C4DB-493D-85BF-DAA2DCF4437A}</x14:id>
        </ext>
      </extLst>
    </cfRule>
  </conditionalFormatting>
  <conditionalFormatting sqref="B284:F287">
    <cfRule type="dataBar" priority="1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{4752A139-E0FD-49B1-9CB0-78F614CED302}</x14:id>
        </ext>
      </extLst>
    </cfRule>
  </conditionalFormatting>
  <conditionalFormatting sqref="B284:F287">
    <cfRule type="dataBar" priority="1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{B105347E-141B-4A2C-B59B-5877D7A01C21}</x14:id>
        </ext>
      </extLst>
    </cfRule>
  </conditionalFormatting>
  <conditionalFormatting sqref="B320:F323">
    <cfRule type="dataBar" priority="1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{45A77F8D-CDED-43A9-86A3-3F40A2AF8AA3}</x14:id>
        </ext>
      </extLst>
    </cfRule>
  </conditionalFormatting>
  <conditionalFormatting sqref="B320:F323">
    <cfRule type="dataBar" priority="1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{8978E1CE-6A7A-42E9-B1BC-1664367E8DE3}</x14:id>
        </ext>
      </extLst>
    </cfRule>
  </conditionalFormatting>
  <conditionalFormatting sqref="B354:F357">
    <cfRule type="dataBar" priority="9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{E0FD2B8E-0F35-4D56-A2CE-5A8DF4657497}</x14:id>
        </ext>
      </extLst>
    </cfRule>
  </conditionalFormatting>
  <conditionalFormatting sqref="B354:F357">
    <cfRule type="dataBar" priority="1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{7065120E-8EAC-4F47-BC67-46D950C4ADF0}</x14:id>
        </ext>
      </extLst>
    </cfRule>
  </conditionalFormatting>
  <conditionalFormatting sqref="B388:F391">
    <cfRule type="dataBar" priority="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{A30AD2E7-2302-4F9B-A038-FBEA45C32CFD}</x14:id>
        </ext>
      </extLst>
    </cfRule>
  </conditionalFormatting>
  <conditionalFormatting sqref="B388:F391">
    <cfRule type="dataBar" priority="8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{46F8C9F2-C774-40C5-B862-57C0EFE29204}</x14:id>
        </ext>
      </extLst>
    </cfRule>
  </conditionalFormatting>
  <conditionalFormatting sqref="B424:F427">
    <cfRule type="dataBar" priority="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{6497932F-6C8A-4C6C-85AB-387A48030A2D}</x14:id>
        </ext>
      </extLst>
    </cfRule>
  </conditionalFormatting>
  <conditionalFormatting sqref="B424:F427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{72F6DBD3-116E-4F11-A260-56543533AFB3}</x14:id>
        </ext>
      </extLst>
    </cfRule>
  </conditionalFormatting>
  <conditionalFormatting sqref="B458:F461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{82338B0A-AA61-41D3-B4FE-B30BBE82197F}</x14:id>
        </ext>
      </extLst>
    </cfRule>
  </conditionalFormatting>
  <conditionalFormatting sqref="B458:F461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{276F15BF-9DC7-4161-B924-C436D76ECA51}</x14:id>
        </ext>
      </extLst>
    </cfRule>
  </conditionalFormatting>
  <conditionalFormatting sqref="B492:F495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{51883A86-3168-49B7-A33E-7C363E796C3D}</x14:id>
        </ext>
      </extLst>
    </cfRule>
  </conditionalFormatting>
  <conditionalFormatting sqref="B492:F495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{6A9975AF-DD0B-4E27-9070-4CA97B2B4F09}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5425D0-6E24-47D2-B032-34E0ACD5184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B1:G6 B47:G47 B87:G87 B117:G117 B151:G151 B211:G215 B185:G185 B247:G249 B221:G221 B281:G283 B255:G255 B315:G318 B289:G289 B351:G352 B331:G331 B385:G386 B359:G359 B419:G422 B393:G393 B455:G456 B429:G429 B489:G490 B469:G469 B497:G497 B13:G31 B37:G40 G32:G36 B71:G74 G48:G70 B93:G93 G88:G92 B99:G99 G94:G98 B105:G110 G100:G104 B123:G123 G118:G122 B129:G129 G124:G128 B135:G135 G130:G134 B141:G145 G136:G140 B157:G157 G152:G156 B163:G163 G158:G162 B169:G169 G164:G168 B175:G179 G170:G174 B191:G191 G186:G190 B197:G197 G192:G196 B203:G203 G198:G202 B209:G209 G204:G208 B227:G227 G222:G226 B233:G233 G228:G232 B239:G239 G234:G238 B245:G245 G240:G244 B261:G261 G256:G260 B267:G267 G262:G266 B273:G273 G268:G272 B279:G279 G274:G278 B295:G295 G290:G294 B301:G301 G296:G300 B307:G307 G302:G306 B313:G313 G308:G312 G326:G330 B337:G337 G332:G336 B343:G343 G338:G342 B349:G349 G344:G348 B365:G365 G360:G364 B371:G371 G366:G370 B377:G377 G372:G376 B383:G383 G378:G382 B399:G399 G394:G398 B405:G405 G400:G404 B411:G411 G406:G410 B417:G417 G412:G416 B435:G435 G430:G434 B441:G441 G436:G440 B447:G447 G442:G446 B453:G453 G448:G452 G464:G468 B475:G475 G470:G474 B481:G481 G476:G480 B487:G487 G482:G486 B503:G503 G498:G502 B509:G509 G504:G508 B515:G515 G510:G514 B521:G521 G516:G520 G7</xm:sqref>
        </x14:conditionalFormatting>
        <x14:conditionalFormatting xmlns:xm="http://schemas.microsoft.com/office/excel/2006/main">
          <x14:cfRule type="dataBar" id="{BA9A45F8-04F4-47F8-92EA-A6244B4BA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B1:G6 B47:G47 B87:G87 B117:G117 B151:G151 B211:G215 B185:G185 B247:G249 B221:G221 B281:G283 B255:G255 B315:G318 B289:G289 B351:G352 B331:G331 B385:G386 B359:G359 B419:G422 B393:G393 B455:G456 B429:G429 B489:G490 B469:G469 B497:G497 B13:G31 B37:G40 G32:G36 B71:G74 G48:G70 B93:G93 G88:G92 B99:G99 G94:G98 B105:G110 G100:G104 B123:G123 G118:G122 B129:G129 G124:G128 B135:G135 G130:G134 B141:G145 G136:G140 B157:G157 G152:G156 B163:G163 G158:G162 B169:G169 G164:G168 B175:G179 G170:G174 B191:G191 G186:G190 B197:G197 G192:G196 B203:G203 G198:G202 B209:G209 G204:G208 B227:G227 G222:G226 B233:G233 G228:G232 B239:G239 G234:G238 B245:G245 G240:G244 B261:G261 G256:G260 B267:G267 G262:G266 B273:G273 G268:G272 B279:G279 G274:G278 B295:G295 G290:G294 B301:G301 G296:G300 B307:G307 G302:G306 B313:G313 G308:G312 G326:G330 B337:G337 G332:G336 B343:G343 G338:G342 B349:G349 G344:G348 B365:G365 G360:G364 B371:G371 G366:G370 B377:G377 G372:G376 B383:G383 G378:G382 B399:G399 G394:G398 B405:G405 G400:G404 B411:G411 G406:G410 B417:G417 G412:G416 B435:G435 G430:G434 B441:G441 G436:G440 B447:G447 G442:G446 B453:G453 G448:G452 G464:G468 B475:G475 G470:G474 B481:G481 G476:G480 B487:G487 G482:G486 B503:G503 G498:G502 B509:G509 G504:G508 B515:G515 G510:G514 B521:G521 G516:G520 G7</xm:sqref>
        </x14:conditionalFormatting>
        <x14:conditionalFormatting xmlns:xm="http://schemas.microsoft.com/office/excel/2006/main">
          <x14:cfRule type="dataBar" id="{C7542074-049A-4025-A126-83ECD9BBEFE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B15:F18</xm:sqref>
        </x14:conditionalFormatting>
        <x14:conditionalFormatting xmlns:xm="http://schemas.microsoft.com/office/excel/2006/main">
          <x14:cfRule type="dataBar" id="{A411815A-6425-408D-8F91-30210C1D390F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B21:F24</xm:sqref>
        </x14:conditionalFormatting>
        <x14:conditionalFormatting xmlns:xm="http://schemas.microsoft.com/office/excel/2006/main">
          <x14:cfRule type="dataBar" id="{D1E1AAA8-3EC6-4BBA-BFB6-C311A6413AF2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B27:F30</xm:sqref>
        </x14:conditionalFormatting>
        <x14:conditionalFormatting xmlns:xm="http://schemas.microsoft.com/office/excel/2006/main">
          <x14:cfRule type="dataBar" id="{D014EE6D-E434-426B-BBD3-52297B85CD0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A53:F53 A59:F59 A65:F65</xm:sqref>
        </x14:conditionalFormatting>
        <x14:conditionalFormatting xmlns:xm="http://schemas.microsoft.com/office/excel/2006/main">
          <x14:cfRule type="dataBar" id="{A4BF053E-073A-4E63-89CB-2FCCFB0D4A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A53:F53 A59:F59 A65:F65</xm:sqref>
        </x14:conditionalFormatting>
        <x14:conditionalFormatting xmlns:xm="http://schemas.microsoft.com/office/excel/2006/main">
          <x14:cfRule type="dataBar" id="{8D5D2D76-AF34-4112-81D1-9B6BC43F9C2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A53:F53 A59:F59 A65:F65</xm:sqref>
        </x14:conditionalFormatting>
        <x14:conditionalFormatting xmlns:xm="http://schemas.microsoft.com/office/excel/2006/main">
          <x14:cfRule type="dataBar" id="{E96E64D5-3919-475A-B1A0-5AB1844B891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A81:G81 G82:G86</xm:sqref>
        </x14:conditionalFormatting>
        <x14:conditionalFormatting xmlns:xm="http://schemas.microsoft.com/office/excel/2006/main">
          <x14:cfRule type="dataBar" id="{90B5DB2D-EC0F-4DA0-95A5-59AF34126F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A81:G81 G82:G86</xm:sqref>
        </x14:conditionalFormatting>
        <x14:conditionalFormatting xmlns:xm="http://schemas.microsoft.com/office/excel/2006/main">
          <x14:cfRule type="dataBar" id="{F735BEFE-7F9F-4DC0-A79F-668443FF94C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A81:G81 G82:G86</xm:sqref>
        </x14:conditionalFormatting>
        <x14:conditionalFormatting xmlns:xm="http://schemas.microsoft.com/office/excel/2006/main">
          <x14:cfRule type="dataBar" id="{D0EBEB5D-66B9-4B6C-AAD2-C7EF74326044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B32:F36</xm:sqref>
        </x14:conditionalFormatting>
        <x14:conditionalFormatting xmlns:xm="http://schemas.microsoft.com/office/excel/2006/main">
          <x14:cfRule type="dataBar" id="{F8A1A7FE-3AA9-4F28-AB1F-0E2FD8AC66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B32:F36</xm:sqref>
        </x14:conditionalFormatting>
        <x14:conditionalFormatting xmlns:xm="http://schemas.microsoft.com/office/excel/2006/main">
          <x14:cfRule type="dataBar" id="{D0A98C7F-293C-4D4E-B08F-5EE44F7ABD05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B33:F36</xm:sqref>
        </x14:conditionalFormatting>
        <x14:conditionalFormatting xmlns:xm="http://schemas.microsoft.com/office/excel/2006/main">
          <x14:cfRule type="dataBar" id="{7112406C-4D22-4CDF-B4DC-FD0BD0EA66E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B48:F52</xm:sqref>
        </x14:conditionalFormatting>
        <x14:conditionalFormatting xmlns:xm="http://schemas.microsoft.com/office/excel/2006/main">
          <x14:cfRule type="dataBar" id="{9FA413DC-140D-4AB9-A056-E6F0880714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B48:F52</xm:sqref>
        </x14:conditionalFormatting>
        <x14:conditionalFormatting xmlns:xm="http://schemas.microsoft.com/office/excel/2006/main">
          <x14:cfRule type="dataBar" id="{F0BFBDFE-3462-4582-872B-128CEB663CA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B49:F52</xm:sqref>
        </x14:conditionalFormatting>
        <x14:conditionalFormatting xmlns:xm="http://schemas.microsoft.com/office/excel/2006/main">
          <x14:cfRule type="dataBar" id="{46C514FD-E8AE-4D3C-8EF1-6F0DB83A110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B54:F58</xm:sqref>
        </x14:conditionalFormatting>
        <x14:conditionalFormatting xmlns:xm="http://schemas.microsoft.com/office/excel/2006/main">
          <x14:cfRule type="dataBar" id="{10B578D9-E025-4110-9983-E6527DFECD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B54:F58</xm:sqref>
        </x14:conditionalFormatting>
        <x14:conditionalFormatting xmlns:xm="http://schemas.microsoft.com/office/excel/2006/main">
          <x14:cfRule type="dataBar" id="{64728FBC-1499-4A67-90E7-A168A6300FB7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B55:F58</xm:sqref>
        </x14:conditionalFormatting>
        <x14:conditionalFormatting xmlns:xm="http://schemas.microsoft.com/office/excel/2006/main">
          <x14:cfRule type="dataBar" id="{A15D8991-1A53-4048-9C2F-4EE4646FC11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B60:F64</xm:sqref>
        </x14:conditionalFormatting>
        <x14:conditionalFormatting xmlns:xm="http://schemas.microsoft.com/office/excel/2006/main">
          <x14:cfRule type="dataBar" id="{17C1DB67-E6CD-4971-A2AD-5E4DC2EE50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B60:F64</xm:sqref>
        </x14:conditionalFormatting>
        <x14:conditionalFormatting xmlns:xm="http://schemas.microsoft.com/office/excel/2006/main">
          <x14:cfRule type="dataBar" id="{FA4B7499-6F79-4835-AB7C-D46EAA84CA50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B61:F64</xm:sqref>
        </x14:conditionalFormatting>
        <x14:conditionalFormatting xmlns:xm="http://schemas.microsoft.com/office/excel/2006/main">
          <x14:cfRule type="dataBar" id="{705FD515-D9FB-4226-B26B-4205A84FA33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B66:F70</xm:sqref>
        </x14:conditionalFormatting>
        <x14:conditionalFormatting xmlns:xm="http://schemas.microsoft.com/office/excel/2006/main">
          <x14:cfRule type="dataBar" id="{0B030604-5AD0-41E0-9807-4AFB21BE4A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B66:F70</xm:sqref>
        </x14:conditionalFormatting>
        <x14:conditionalFormatting xmlns:xm="http://schemas.microsoft.com/office/excel/2006/main">
          <x14:cfRule type="dataBar" id="{886CB7E7-9A48-4A97-8776-6D282E0A89B3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B67:F70</xm:sqref>
        </x14:conditionalFormatting>
        <x14:conditionalFormatting xmlns:xm="http://schemas.microsoft.com/office/excel/2006/main">
          <x14:cfRule type="dataBar" id="{7B71F60F-4AD5-4E5D-95D6-227AB3851D9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B82:F86</xm:sqref>
        </x14:conditionalFormatting>
        <x14:conditionalFormatting xmlns:xm="http://schemas.microsoft.com/office/excel/2006/main">
          <x14:cfRule type="dataBar" id="{7BFECEBA-1D84-442F-B455-0818C20E3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B82:F86</xm:sqref>
        </x14:conditionalFormatting>
        <x14:conditionalFormatting xmlns:xm="http://schemas.microsoft.com/office/excel/2006/main">
          <x14:cfRule type="dataBar" id="{8C09518F-F2EA-4B73-A9C5-03AE37BD49B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B83:F86</xm:sqref>
        </x14:conditionalFormatting>
        <x14:conditionalFormatting xmlns:xm="http://schemas.microsoft.com/office/excel/2006/main">
          <x14:cfRule type="dataBar" id="{79574AC6-6917-4312-98CF-04EC280A7D9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B88:F92</xm:sqref>
        </x14:conditionalFormatting>
        <x14:conditionalFormatting xmlns:xm="http://schemas.microsoft.com/office/excel/2006/main">
          <x14:cfRule type="dataBar" id="{56058B99-943F-4EEE-9C5C-A02040CB19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B88:F92</xm:sqref>
        </x14:conditionalFormatting>
        <x14:conditionalFormatting xmlns:xm="http://schemas.microsoft.com/office/excel/2006/main">
          <x14:cfRule type="dataBar" id="{2A735A29-E8AF-44FD-AF59-3BE69EE6331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B89:F92</xm:sqref>
        </x14:conditionalFormatting>
        <x14:conditionalFormatting xmlns:xm="http://schemas.microsoft.com/office/excel/2006/main">
          <x14:cfRule type="dataBar" id="{6F6D9E1C-993D-45BC-9B62-2AEA13B6E45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B94:F98</xm:sqref>
        </x14:conditionalFormatting>
        <x14:conditionalFormatting xmlns:xm="http://schemas.microsoft.com/office/excel/2006/main">
          <x14:cfRule type="dataBar" id="{293C4E44-4511-43A4-BEE5-EEC4E1DCFB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B94:F98</xm:sqref>
        </x14:conditionalFormatting>
        <x14:conditionalFormatting xmlns:xm="http://schemas.microsoft.com/office/excel/2006/main">
          <x14:cfRule type="dataBar" id="{DD31CAB6-FF9C-4E10-B34D-04252A78CCDF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B95:F98</xm:sqref>
        </x14:conditionalFormatting>
        <x14:conditionalFormatting xmlns:xm="http://schemas.microsoft.com/office/excel/2006/main">
          <x14:cfRule type="dataBar" id="{0CC785ED-3756-460B-A848-597676CE46F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B100:F104</xm:sqref>
        </x14:conditionalFormatting>
        <x14:conditionalFormatting xmlns:xm="http://schemas.microsoft.com/office/excel/2006/main">
          <x14:cfRule type="dataBar" id="{FD67A1C4-D0CD-4E94-B8EB-9E399496C5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B100:F104</xm:sqref>
        </x14:conditionalFormatting>
        <x14:conditionalFormatting xmlns:xm="http://schemas.microsoft.com/office/excel/2006/main">
          <x14:cfRule type="dataBar" id="{2C6F3524-918A-4961-B4DC-20FDB75C2FE5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B101:F104</xm:sqref>
        </x14:conditionalFormatting>
        <x14:conditionalFormatting xmlns:xm="http://schemas.microsoft.com/office/excel/2006/main">
          <x14:cfRule type="dataBar" id="{FC041369-BCA3-46C1-B616-2C1DB90312F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B118:F122</xm:sqref>
        </x14:conditionalFormatting>
        <x14:conditionalFormatting xmlns:xm="http://schemas.microsoft.com/office/excel/2006/main">
          <x14:cfRule type="dataBar" id="{11707698-DB48-40B0-B1A6-610BF0E32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B118:F122</xm:sqref>
        </x14:conditionalFormatting>
        <x14:conditionalFormatting xmlns:xm="http://schemas.microsoft.com/office/excel/2006/main">
          <x14:cfRule type="dataBar" id="{6CE5B2FF-4F2B-4D0B-A0D8-0A2FF27BE3E4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B119:F122</xm:sqref>
        </x14:conditionalFormatting>
        <x14:conditionalFormatting xmlns:xm="http://schemas.microsoft.com/office/excel/2006/main">
          <x14:cfRule type="dataBar" id="{92DA5771-BEEC-44AA-9476-B3861542ACC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B124:F128</xm:sqref>
        </x14:conditionalFormatting>
        <x14:conditionalFormatting xmlns:xm="http://schemas.microsoft.com/office/excel/2006/main">
          <x14:cfRule type="dataBar" id="{83FAC5C2-928D-4AA2-89D4-DCA8A02828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B124:F128</xm:sqref>
        </x14:conditionalFormatting>
        <x14:conditionalFormatting xmlns:xm="http://schemas.microsoft.com/office/excel/2006/main">
          <x14:cfRule type="dataBar" id="{A4B46927-D3C7-4D8E-A87B-39A5CC79BC99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B125:F128</xm:sqref>
        </x14:conditionalFormatting>
        <x14:conditionalFormatting xmlns:xm="http://schemas.microsoft.com/office/excel/2006/main">
          <x14:cfRule type="dataBar" id="{28B36ED8-9356-48B0-A65F-6CBECF80944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B130:F134</xm:sqref>
        </x14:conditionalFormatting>
        <x14:conditionalFormatting xmlns:xm="http://schemas.microsoft.com/office/excel/2006/main">
          <x14:cfRule type="dataBar" id="{B7BE102E-8EF4-4668-8CAC-90ADABB121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B130:F134</xm:sqref>
        </x14:conditionalFormatting>
        <x14:conditionalFormatting xmlns:xm="http://schemas.microsoft.com/office/excel/2006/main">
          <x14:cfRule type="dataBar" id="{76046A72-EE56-4083-8C1C-05807F55B33A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B131:F134</xm:sqref>
        </x14:conditionalFormatting>
        <x14:conditionalFormatting xmlns:xm="http://schemas.microsoft.com/office/excel/2006/main">
          <x14:cfRule type="dataBar" id="{27944B2C-8002-447A-90CF-76E2709266B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B136:F140</xm:sqref>
        </x14:conditionalFormatting>
        <x14:conditionalFormatting xmlns:xm="http://schemas.microsoft.com/office/excel/2006/main">
          <x14:cfRule type="dataBar" id="{861E7BD2-1F34-4EF9-BC50-50482BCD73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B136:F140</xm:sqref>
        </x14:conditionalFormatting>
        <x14:conditionalFormatting xmlns:xm="http://schemas.microsoft.com/office/excel/2006/main">
          <x14:cfRule type="dataBar" id="{3357CA72-6164-4843-AD91-58627328A20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B137:F140</xm:sqref>
        </x14:conditionalFormatting>
        <x14:conditionalFormatting xmlns:xm="http://schemas.microsoft.com/office/excel/2006/main">
          <x14:cfRule type="dataBar" id="{B0C386A2-2A53-4E8A-A444-606E0C270A1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B152:F156</xm:sqref>
        </x14:conditionalFormatting>
        <x14:conditionalFormatting xmlns:xm="http://schemas.microsoft.com/office/excel/2006/main">
          <x14:cfRule type="dataBar" id="{F0A74D31-1AC3-4215-AA49-2A9936C33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B152:F156</xm:sqref>
        </x14:conditionalFormatting>
        <x14:conditionalFormatting xmlns:xm="http://schemas.microsoft.com/office/excel/2006/main">
          <x14:cfRule type="dataBar" id="{AD74EB57-F167-48A9-B7EF-1374A4D52BD0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B153:F156</xm:sqref>
        </x14:conditionalFormatting>
        <x14:conditionalFormatting xmlns:xm="http://schemas.microsoft.com/office/excel/2006/main">
          <x14:cfRule type="dataBar" id="{7B95FACF-BD98-4191-AA68-3B6820914DB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B158:F162</xm:sqref>
        </x14:conditionalFormatting>
        <x14:conditionalFormatting xmlns:xm="http://schemas.microsoft.com/office/excel/2006/main">
          <x14:cfRule type="dataBar" id="{5E8D98A4-3A10-461E-BAED-7D31E408F3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B158:F162</xm:sqref>
        </x14:conditionalFormatting>
        <x14:conditionalFormatting xmlns:xm="http://schemas.microsoft.com/office/excel/2006/main">
          <x14:cfRule type="dataBar" id="{C8DFE745-8C3D-4B2A-85D4-53A46A86A907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B159:F162</xm:sqref>
        </x14:conditionalFormatting>
        <x14:conditionalFormatting xmlns:xm="http://schemas.microsoft.com/office/excel/2006/main">
          <x14:cfRule type="dataBar" id="{117B4A31-CC20-4095-862B-4B14CB7F215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B164:F168</xm:sqref>
        </x14:conditionalFormatting>
        <x14:conditionalFormatting xmlns:xm="http://schemas.microsoft.com/office/excel/2006/main">
          <x14:cfRule type="dataBar" id="{3294CDAA-264B-40C9-8CA1-7F693EF253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B164:F168</xm:sqref>
        </x14:conditionalFormatting>
        <x14:conditionalFormatting xmlns:xm="http://schemas.microsoft.com/office/excel/2006/main">
          <x14:cfRule type="dataBar" id="{B58337B2-088A-4C6A-B894-9B3F29B3701A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B165:F168</xm:sqref>
        </x14:conditionalFormatting>
        <x14:conditionalFormatting xmlns:xm="http://schemas.microsoft.com/office/excel/2006/main">
          <x14:cfRule type="dataBar" id="{A579666B-4C2E-4369-A7D0-FB761FCE2FA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B170:F174</xm:sqref>
        </x14:conditionalFormatting>
        <x14:conditionalFormatting xmlns:xm="http://schemas.microsoft.com/office/excel/2006/main">
          <x14:cfRule type="dataBar" id="{5B3D4BFB-2110-450D-9460-545F6351E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B170:F174</xm:sqref>
        </x14:conditionalFormatting>
        <x14:conditionalFormatting xmlns:xm="http://schemas.microsoft.com/office/excel/2006/main">
          <x14:cfRule type="dataBar" id="{7FD307C6-C69C-4A24-869A-688DFEDCF1A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B171:F174</xm:sqref>
        </x14:conditionalFormatting>
        <x14:conditionalFormatting xmlns:xm="http://schemas.microsoft.com/office/excel/2006/main">
          <x14:cfRule type="dataBar" id="{FCC63129-E115-49E1-A6F9-910107104D4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B186:F190</xm:sqref>
        </x14:conditionalFormatting>
        <x14:conditionalFormatting xmlns:xm="http://schemas.microsoft.com/office/excel/2006/main">
          <x14:cfRule type="dataBar" id="{893056A1-2C6A-4D5F-B993-01123E64E6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B186:F190</xm:sqref>
        </x14:conditionalFormatting>
        <x14:conditionalFormatting xmlns:xm="http://schemas.microsoft.com/office/excel/2006/main">
          <x14:cfRule type="dataBar" id="{C2361D05-84D9-48E8-B156-3FCD4F7943B2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B187:F190</xm:sqref>
        </x14:conditionalFormatting>
        <x14:conditionalFormatting xmlns:xm="http://schemas.microsoft.com/office/excel/2006/main">
          <x14:cfRule type="dataBar" id="{AFF47D2F-D753-4B56-AAAC-9B189E054D7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B192:F196</xm:sqref>
        </x14:conditionalFormatting>
        <x14:conditionalFormatting xmlns:xm="http://schemas.microsoft.com/office/excel/2006/main">
          <x14:cfRule type="dataBar" id="{F411DA3F-DDB0-48B2-95D4-E568ADD68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B192:F196</xm:sqref>
        </x14:conditionalFormatting>
        <x14:conditionalFormatting xmlns:xm="http://schemas.microsoft.com/office/excel/2006/main">
          <x14:cfRule type="dataBar" id="{652D0F45-4098-4C07-B9B4-C279C6EF060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B193:F196</xm:sqref>
        </x14:conditionalFormatting>
        <x14:conditionalFormatting xmlns:xm="http://schemas.microsoft.com/office/excel/2006/main">
          <x14:cfRule type="dataBar" id="{D3F9A751-9424-45AF-BBB9-D4ABDBA819D4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B198:F202</xm:sqref>
        </x14:conditionalFormatting>
        <x14:conditionalFormatting xmlns:xm="http://schemas.microsoft.com/office/excel/2006/main">
          <x14:cfRule type="dataBar" id="{3BA5819B-A62C-4A0E-AECD-89791AC377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B198:F202</xm:sqref>
        </x14:conditionalFormatting>
        <x14:conditionalFormatting xmlns:xm="http://schemas.microsoft.com/office/excel/2006/main">
          <x14:cfRule type="dataBar" id="{CCCCD969-8012-4CF3-A2C1-8DEDC1A31D8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B199:F202</xm:sqref>
        </x14:conditionalFormatting>
        <x14:conditionalFormatting xmlns:xm="http://schemas.microsoft.com/office/excel/2006/main">
          <x14:cfRule type="dataBar" id="{6D8C079A-69A1-4078-8299-15E0C6B63C5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B204:F208</xm:sqref>
        </x14:conditionalFormatting>
        <x14:conditionalFormatting xmlns:xm="http://schemas.microsoft.com/office/excel/2006/main">
          <x14:cfRule type="dataBar" id="{E0C592B4-ADAF-4B26-A357-1112445E01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B204:F208</xm:sqref>
        </x14:conditionalFormatting>
        <x14:conditionalFormatting xmlns:xm="http://schemas.microsoft.com/office/excel/2006/main">
          <x14:cfRule type="dataBar" id="{4EBC7D17-D3EB-4042-9557-6EB1950B773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B205:F208</xm:sqref>
        </x14:conditionalFormatting>
        <x14:conditionalFormatting xmlns:xm="http://schemas.microsoft.com/office/excel/2006/main">
          <x14:cfRule type="dataBar" id="{4BC93750-BCE9-429E-9F3F-E944DEAEE5E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B222:F226</xm:sqref>
        </x14:conditionalFormatting>
        <x14:conditionalFormatting xmlns:xm="http://schemas.microsoft.com/office/excel/2006/main">
          <x14:cfRule type="dataBar" id="{485F1B95-58A0-41FD-8400-42BA1D28D7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B222:F226</xm:sqref>
        </x14:conditionalFormatting>
        <x14:conditionalFormatting xmlns:xm="http://schemas.microsoft.com/office/excel/2006/main">
          <x14:cfRule type="dataBar" id="{50EF8ADE-F7F6-4932-879E-9F179127B56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B223:F226</xm:sqref>
        </x14:conditionalFormatting>
        <x14:conditionalFormatting xmlns:xm="http://schemas.microsoft.com/office/excel/2006/main">
          <x14:cfRule type="dataBar" id="{733E29C8-0A0F-4EC4-998E-61E6CC974D9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B228:F232</xm:sqref>
        </x14:conditionalFormatting>
        <x14:conditionalFormatting xmlns:xm="http://schemas.microsoft.com/office/excel/2006/main">
          <x14:cfRule type="dataBar" id="{E02014A1-574A-4C83-8334-2A20D04F2A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B228:F232</xm:sqref>
        </x14:conditionalFormatting>
        <x14:conditionalFormatting xmlns:xm="http://schemas.microsoft.com/office/excel/2006/main">
          <x14:cfRule type="dataBar" id="{DD3247C1-60BF-4EBC-9F81-9EF230A9690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B229:F232</xm:sqref>
        </x14:conditionalFormatting>
        <x14:conditionalFormatting xmlns:xm="http://schemas.microsoft.com/office/excel/2006/main">
          <x14:cfRule type="dataBar" id="{AAA1AD5E-E4C3-4D01-9960-94F0109D73C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B234:F238</xm:sqref>
        </x14:conditionalFormatting>
        <x14:conditionalFormatting xmlns:xm="http://schemas.microsoft.com/office/excel/2006/main">
          <x14:cfRule type="dataBar" id="{228A3084-4058-4F19-97FD-5CC5D44F35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B234:F238</xm:sqref>
        </x14:conditionalFormatting>
        <x14:conditionalFormatting xmlns:xm="http://schemas.microsoft.com/office/excel/2006/main">
          <x14:cfRule type="dataBar" id="{716879EB-AB80-420E-BAE0-3EB1D4C6C2D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B235:F238</xm:sqref>
        </x14:conditionalFormatting>
        <x14:conditionalFormatting xmlns:xm="http://schemas.microsoft.com/office/excel/2006/main">
          <x14:cfRule type="dataBar" id="{61439256-138B-4241-A6AF-EE28174EB8F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B240:F244</xm:sqref>
        </x14:conditionalFormatting>
        <x14:conditionalFormatting xmlns:xm="http://schemas.microsoft.com/office/excel/2006/main">
          <x14:cfRule type="dataBar" id="{F49D6883-8F88-4A30-8EC6-5734EB5098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B240:F244</xm:sqref>
        </x14:conditionalFormatting>
        <x14:conditionalFormatting xmlns:xm="http://schemas.microsoft.com/office/excel/2006/main">
          <x14:cfRule type="dataBar" id="{7E9C789F-2A2F-451C-8EB3-FDC67AF8797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B241:F244</xm:sqref>
        </x14:conditionalFormatting>
        <x14:conditionalFormatting xmlns:xm="http://schemas.microsoft.com/office/excel/2006/main">
          <x14:cfRule type="dataBar" id="{54F37334-626E-486D-8105-3665A4B5EC6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B256:F260</xm:sqref>
        </x14:conditionalFormatting>
        <x14:conditionalFormatting xmlns:xm="http://schemas.microsoft.com/office/excel/2006/main">
          <x14:cfRule type="dataBar" id="{AAFB00EF-95F6-41E8-B5DB-23AB5CFE31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B256:F260</xm:sqref>
        </x14:conditionalFormatting>
        <x14:conditionalFormatting xmlns:xm="http://schemas.microsoft.com/office/excel/2006/main">
          <x14:cfRule type="dataBar" id="{A30952D0-229D-4F05-9312-A92BD25BF5D3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B257:F260</xm:sqref>
        </x14:conditionalFormatting>
        <x14:conditionalFormatting xmlns:xm="http://schemas.microsoft.com/office/excel/2006/main">
          <x14:cfRule type="dataBar" id="{14C586C7-E398-4CDF-BC16-87F80814AB9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B262:F266</xm:sqref>
        </x14:conditionalFormatting>
        <x14:conditionalFormatting xmlns:xm="http://schemas.microsoft.com/office/excel/2006/main">
          <x14:cfRule type="dataBar" id="{E5ADF2A2-6166-4FD0-8915-229816755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B262:F266</xm:sqref>
        </x14:conditionalFormatting>
        <x14:conditionalFormatting xmlns:xm="http://schemas.microsoft.com/office/excel/2006/main">
          <x14:cfRule type="dataBar" id="{9C7D7947-CC27-48AF-A2CC-6EA4104C0A4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B263:F266</xm:sqref>
        </x14:conditionalFormatting>
        <x14:conditionalFormatting xmlns:xm="http://schemas.microsoft.com/office/excel/2006/main">
          <x14:cfRule type="dataBar" id="{FB21877A-D3C0-467A-A982-B1AC17C490B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B268:F272</xm:sqref>
        </x14:conditionalFormatting>
        <x14:conditionalFormatting xmlns:xm="http://schemas.microsoft.com/office/excel/2006/main">
          <x14:cfRule type="dataBar" id="{77C1F1EE-5A30-4AFD-B31C-4D898F9028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B268:F272</xm:sqref>
        </x14:conditionalFormatting>
        <x14:conditionalFormatting xmlns:xm="http://schemas.microsoft.com/office/excel/2006/main">
          <x14:cfRule type="dataBar" id="{FC83F51E-C772-40AB-8064-75E00B68AE5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B269:F272</xm:sqref>
        </x14:conditionalFormatting>
        <x14:conditionalFormatting xmlns:xm="http://schemas.microsoft.com/office/excel/2006/main">
          <x14:cfRule type="dataBar" id="{2B445F80-E7EF-4755-B5DB-FE2214A35F3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B274:F278</xm:sqref>
        </x14:conditionalFormatting>
        <x14:conditionalFormatting xmlns:xm="http://schemas.microsoft.com/office/excel/2006/main">
          <x14:cfRule type="dataBar" id="{3A22D9BE-BD25-4366-B01A-A171E33892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B274:F278</xm:sqref>
        </x14:conditionalFormatting>
        <x14:conditionalFormatting xmlns:xm="http://schemas.microsoft.com/office/excel/2006/main">
          <x14:cfRule type="dataBar" id="{1334F34F-33B1-48ED-9E51-FB1BFBDFEFC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B275:F278</xm:sqref>
        </x14:conditionalFormatting>
        <x14:conditionalFormatting xmlns:xm="http://schemas.microsoft.com/office/excel/2006/main">
          <x14:cfRule type="dataBar" id="{A452A4FB-5153-4D77-B964-033DC0FF55B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B290:F294</xm:sqref>
        </x14:conditionalFormatting>
        <x14:conditionalFormatting xmlns:xm="http://schemas.microsoft.com/office/excel/2006/main">
          <x14:cfRule type="dataBar" id="{97C11463-1964-4D8B-A574-33F3BABD67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B290:F294</xm:sqref>
        </x14:conditionalFormatting>
        <x14:conditionalFormatting xmlns:xm="http://schemas.microsoft.com/office/excel/2006/main">
          <x14:cfRule type="dataBar" id="{06D3B742-A686-4263-AECE-BA29FEB93AAB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B291:F294</xm:sqref>
        </x14:conditionalFormatting>
        <x14:conditionalFormatting xmlns:xm="http://schemas.microsoft.com/office/excel/2006/main">
          <x14:cfRule type="dataBar" id="{210CE30F-76FB-4F71-BC3B-745A8A6CF78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B296:F300</xm:sqref>
        </x14:conditionalFormatting>
        <x14:conditionalFormatting xmlns:xm="http://schemas.microsoft.com/office/excel/2006/main">
          <x14:cfRule type="dataBar" id="{37384C1C-157F-426F-A649-CF61B76435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B296:F300</xm:sqref>
        </x14:conditionalFormatting>
        <x14:conditionalFormatting xmlns:xm="http://schemas.microsoft.com/office/excel/2006/main">
          <x14:cfRule type="dataBar" id="{459F3D7D-A3DE-41E0-8614-79B90B8C306E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B297:F300</xm:sqref>
        </x14:conditionalFormatting>
        <x14:conditionalFormatting xmlns:xm="http://schemas.microsoft.com/office/excel/2006/main">
          <x14:cfRule type="dataBar" id="{D6958122-CAC2-434C-9173-16CB6FFBFE8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B302:F306</xm:sqref>
        </x14:conditionalFormatting>
        <x14:conditionalFormatting xmlns:xm="http://schemas.microsoft.com/office/excel/2006/main">
          <x14:cfRule type="dataBar" id="{56B2FF86-753C-4EFB-BE81-D604510B7C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B302:F306</xm:sqref>
        </x14:conditionalFormatting>
        <x14:conditionalFormatting xmlns:xm="http://schemas.microsoft.com/office/excel/2006/main">
          <x14:cfRule type="dataBar" id="{4EA7B96F-EB42-4004-A3D1-DEF5C2D69B2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B303:F306</xm:sqref>
        </x14:conditionalFormatting>
        <x14:conditionalFormatting xmlns:xm="http://schemas.microsoft.com/office/excel/2006/main">
          <x14:cfRule type="dataBar" id="{699B2DF9-87A6-4918-9354-6EB0299DB33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B308:F312</xm:sqref>
        </x14:conditionalFormatting>
        <x14:conditionalFormatting xmlns:xm="http://schemas.microsoft.com/office/excel/2006/main">
          <x14:cfRule type="dataBar" id="{3992E357-A632-4F7A-91C8-916D1180A9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B308:F312</xm:sqref>
        </x14:conditionalFormatting>
        <x14:conditionalFormatting xmlns:xm="http://schemas.microsoft.com/office/excel/2006/main">
          <x14:cfRule type="dataBar" id="{F7D34147-20C5-4B17-9C14-31DD0CDE9B77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B309:F312</xm:sqref>
        </x14:conditionalFormatting>
        <x14:conditionalFormatting xmlns:xm="http://schemas.microsoft.com/office/excel/2006/main">
          <x14:cfRule type="dataBar" id="{0C95C682-3004-4A18-8E2A-E63DE47D298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B326:F330</xm:sqref>
        </x14:conditionalFormatting>
        <x14:conditionalFormatting xmlns:xm="http://schemas.microsoft.com/office/excel/2006/main">
          <x14:cfRule type="dataBar" id="{679A28C5-E7CD-42A6-8BFE-7674D3D532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B326:F330</xm:sqref>
        </x14:conditionalFormatting>
        <x14:conditionalFormatting xmlns:xm="http://schemas.microsoft.com/office/excel/2006/main">
          <x14:cfRule type="dataBar" id="{B4EA14C3-48A8-4EAF-AC19-53324766B3DC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B327:F330</xm:sqref>
        </x14:conditionalFormatting>
        <x14:conditionalFormatting xmlns:xm="http://schemas.microsoft.com/office/excel/2006/main">
          <x14:cfRule type="dataBar" id="{D27639F7-F1BD-4708-8E88-D166FAA38DF6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B332:F336</xm:sqref>
        </x14:conditionalFormatting>
        <x14:conditionalFormatting xmlns:xm="http://schemas.microsoft.com/office/excel/2006/main">
          <x14:cfRule type="dataBar" id="{B0EBC63D-ABB8-493A-90E1-5B6567C97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B332:F336</xm:sqref>
        </x14:conditionalFormatting>
        <x14:conditionalFormatting xmlns:xm="http://schemas.microsoft.com/office/excel/2006/main">
          <x14:cfRule type="dataBar" id="{E6E17400-E3BC-444F-93F2-ABF1129B7677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B333:F336</xm:sqref>
        </x14:conditionalFormatting>
        <x14:conditionalFormatting xmlns:xm="http://schemas.microsoft.com/office/excel/2006/main">
          <x14:cfRule type="dataBar" id="{A0AF830C-49C8-4967-A693-B20724C4FC7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B338:F342</xm:sqref>
        </x14:conditionalFormatting>
        <x14:conditionalFormatting xmlns:xm="http://schemas.microsoft.com/office/excel/2006/main">
          <x14:cfRule type="dataBar" id="{EEC7B222-FE7E-4805-86D0-6691B52BE3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B338:F342</xm:sqref>
        </x14:conditionalFormatting>
        <x14:conditionalFormatting xmlns:xm="http://schemas.microsoft.com/office/excel/2006/main">
          <x14:cfRule type="dataBar" id="{8D574B7C-E992-47ED-B3D7-A751014EA4CA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B339:F342</xm:sqref>
        </x14:conditionalFormatting>
        <x14:conditionalFormatting xmlns:xm="http://schemas.microsoft.com/office/excel/2006/main">
          <x14:cfRule type="dataBar" id="{23ECEA19-B836-4F7D-A036-1A5DFAB9BD2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B344:F348</xm:sqref>
        </x14:conditionalFormatting>
        <x14:conditionalFormatting xmlns:xm="http://schemas.microsoft.com/office/excel/2006/main">
          <x14:cfRule type="dataBar" id="{62873B43-FA98-464A-8229-7B0D49391D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B344:F348</xm:sqref>
        </x14:conditionalFormatting>
        <x14:conditionalFormatting xmlns:xm="http://schemas.microsoft.com/office/excel/2006/main">
          <x14:cfRule type="dataBar" id="{2978FBDA-0D71-4DC0-A45D-8C61C900C989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B345:F348</xm:sqref>
        </x14:conditionalFormatting>
        <x14:conditionalFormatting xmlns:xm="http://schemas.microsoft.com/office/excel/2006/main">
          <x14:cfRule type="dataBar" id="{8578670E-9F03-43BD-BC91-698C86F879D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B360:F364</xm:sqref>
        </x14:conditionalFormatting>
        <x14:conditionalFormatting xmlns:xm="http://schemas.microsoft.com/office/excel/2006/main">
          <x14:cfRule type="dataBar" id="{7A408259-DE1D-40E4-A948-21FF7D613F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B360:F364</xm:sqref>
        </x14:conditionalFormatting>
        <x14:conditionalFormatting xmlns:xm="http://schemas.microsoft.com/office/excel/2006/main">
          <x14:cfRule type="dataBar" id="{8381C1CE-3D79-49E9-94AA-520180E738C3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B361:F364</xm:sqref>
        </x14:conditionalFormatting>
        <x14:conditionalFormatting xmlns:xm="http://schemas.microsoft.com/office/excel/2006/main">
          <x14:cfRule type="dataBar" id="{C57C8C6E-88BC-47B5-97BB-D94EFB3B6F6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B366:F370</xm:sqref>
        </x14:conditionalFormatting>
        <x14:conditionalFormatting xmlns:xm="http://schemas.microsoft.com/office/excel/2006/main">
          <x14:cfRule type="dataBar" id="{5DBB743C-5922-463E-B3A9-299ABFE2A7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B366:F370</xm:sqref>
        </x14:conditionalFormatting>
        <x14:conditionalFormatting xmlns:xm="http://schemas.microsoft.com/office/excel/2006/main">
          <x14:cfRule type="dataBar" id="{916A9A2A-3498-4968-ADD3-E4C7E0FA783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B367:F370</xm:sqref>
        </x14:conditionalFormatting>
        <x14:conditionalFormatting xmlns:xm="http://schemas.microsoft.com/office/excel/2006/main">
          <x14:cfRule type="dataBar" id="{B9F72B0B-DFA2-4619-8649-5420556A15E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B372:F376</xm:sqref>
        </x14:conditionalFormatting>
        <x14:conditionalFormatting xmlns:xm="http://schemas.microsoft.com/office/excel/2006/main">
          <x14:cfRule type="dataBar" id="{85267753-CBB9-43C2-9429-2B0C83BFEE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B372:F376</xm:sqref>
        </x14:conditionalFormatting>
        <x14:conditionalFormatting xmlns:xm="http://schemas.microsoft.com/office/excel/2006/main">
          <x14:cfRule type="dataBar" id="{C473AC71-DB26-4240-BFC8-86C91D9F35B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B373:F376</xm:sqref>
        </x14:conditionalFormatting>
        <x14:conditionalFormatting xmlns:xm="http://schemas.microsoft.com/office/excel/2006/main">
          <x14:cfRule type="dataBar" id="{0053B47D-714E-4319-BF3A-79868DCF08E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B378:F382</xm:sqref>
        </x14:conditionalFormatting>
        <x14:conditionalFormatting xmlns:xm="http://schemas.microsoft.com/office/excel/2006/main">
          <x14:cfRule type="dataBar" id="{123B0259-1E96-4DA9-B7F6-104AB712F2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B378:F382</xm:sqref>
        </x14:conditionalFormatting>
        <x14:conditionalFormatting xmlns:xm="http://schemas.microsoft.com/office/excel/2006/main">
          <x14:cfRule type="dataBar" id="{982633CA-B572-4237-B4A1-56E78B9D663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B379:F382</xm:sqref>
        </x14:conditionalFormatting>
        <x14:conditionalFormatting xmlns:xm="http://schemas.microsoft.com/office/excel/2006/main">
          <x14:cfRule type="dataBar" id="{74595840-760C-4D59-A781-B03A6A47040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B394:F398</xm:sqref>
        </x14:conditionalFormatting>
        <x14:conditionalFormatting xmlns:xm="http://schemas.microsoft.com/office/excel/2006/main">
          <x14:cfRule type="dataBar" id="{794D3604-51BC-4503-B85B-C829D6DEF4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B394:F398</xm:sqref>
        </x14:conditionalFormatting>
        <x14:conditionalFormatting xmlns:xm="http://schemas.microsoft.com/office/excel/2006/main">
          <x14:cfRule type="dataBar" id="{35E27B50-E4D3-424A-8614-EB0806D433BA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B395:F398</xm:sqref>
        </x14:conditionalFormatting>
        <x14:conditionalFormatting xmlns:xm="http://schemas.microsoft.com/office/excel/2006/main">
          <x14:cfRule type="dataBar" id="{85A4A551-C01B-45A0-80D4-2367E057325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B400:F404</xm:sqref>
        </x14:conditionalFormatting>
        <x14:conditionalFormatting xmlns:xm="http://schemas.microsoft.com/office/excel/2006/main">
          <x14:cfRule type="dataBar" id="{3CB607B0-EE7E-4B04-9923-63FD18307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B400:F404</xm:sqref>
        </x14:conditionalFormatting>
        <x14:conditionalFormatting xmlns:xm="http://schemas.microsoft.com/office/excel/2006/main">
          <x14:cfRule type="dataBar" id="{32DD5DE0-2F6D-4C4A-ACA0-411BC19B1EFC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B401:F404</xm:sqref>
        </x14:conditionalFormatting>
        <x14:conditionalFormatting xmlns:xm="http://schemas.microsoft.com/office/excel/2006/main">
          <x14:cfRule type="dataBar" id="{77C3D12A-7D21-4690-B615-7F7847E909C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B406:F410</xm:sqref>
        </x14:conditionalFormatting>
        <x14:conditionalFormatting xmlns:xm="http://schemas.microsoft.com/office/excel/2006/main">
          <x14:cfRule type="dataBar" id="{8776A445-5238-4361-A76C-6118774D7A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B406:F410</xm:sqref>
        </x14:conditionalFormatting>
        <x14:conditionalFormatting xmlns:xm="http://schemas.microsoft.com/office/excel/2006/main">
          <x14:cfRule type="dataBar" id="{29A27A0F-0398-491C-81C5-5F306890B1C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B407:F410</xm:sqref>
        </x14:conditionalFormatting>
        <x14:conditionalFormatting xmlns:xm="http://schemas.microsoft.com/office/excel/2006/main">
          <x14:cfRule type="dataBar" id="{55591BDA-119E-4459-BB06-1E44774631B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B412:F416</xm:sqref>
        </x14:conditionalFormatting>
        <x14:conditionalFormatting xmlns:xm="http://schemas.microsoft.com/office/excel/2006/main">
          <x14:cfRule type="dataBar" id="{4B3F0060-A262-4E86-9F4F-BEACA1135E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B412:F416</xm:sqref>
        </x14:conditionalFormatting>
        <x14:conditionalFormatting xmlns:xm="http://schemas.microsoft.com/office/excel/2006/main">
          <x14:cfRule type="dataBar" id="{749B4761-9130-40DC-AD13-2BF9702FFD6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B413:F416</xm:sqref>
        </x14:conditionalFormatting>
        <x14:conditionalFormatting xmlns:xm="http://schemas.microsoft.com/office/excel/2006/main">
          <x14:cfRule type="dataBar" id="{4F9A51EF-3BA0-40D4-BCBE-6F633139ED6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B430:F434</xm:sqref>
        </x14:conditionalFormatting>
        <x14:conditionalFormatting xmlns:xm="http://schemas.microsoft.com/office/excel/2006/main">
          <x14:cfRule type="dataBar" id="{5E216D02-7A85-4D27-B0E9-D8F25DCC3A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B430:F434</xm:sqref>
        </x14:conditionalFormatting>
        <x14:conditionalFormatting xmlns:xm="http://schemas.microsoft.com/office/excel/2006/main">
          <x14:cfRule type="dataBar" id="{C3CEA4A5-6758-4FF6-9088-CCA7923A45D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B431:F434</xm:sqref>
        </x14:conditionalFormatting>
        <x14:conditionalFormatting xmlns:xm="http://schemas.microsoft.com/office/excel/2006/main">
          <x14:cfRule type="dataBar" id="{37F8E2BB-91D1-4F67-94AF-638D62F5D08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B436:F440</xm:sqref>
        </x14:conditionalFormatting>
        <x14:conditionalFormatting xmlns:xm="http://schemas.microsoft.com/office/excel/2006/main">
          <x14:cfRule type="dataBar" id="{5A1CF2C6-CDE6-4E68-A1E6-1213AA2499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B436:F440</xm:sqref>
        </x14:conditionalFormatting>
        <x14:conditionalFormatting xmlns:xm="http://schemas.microsoft.com/office/excel/2006/main">
          <x14:cfRule type="dataBar" id="{034DF057-8AD2-40DC-8E19-23E6B9508897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B437:F440</xm:sqref>
        </x14:conditionalFormatting>
        <x14:conditionalFormatting xmlns:xm="http://schemas.microsoft.com/office/excel/2006/main">
          <x14:cfRule type="dataBar" id="{CFCEDC11-A5E4-4240-878A-D8C01415F6D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B442:F446</xm:sqref>
        </x14:conditionalFormatting>
        <x14:conditionalFormatting xmlns:xm="http://schemas.microsoft.com/office/excel/2006/main">
          <x14:cfRule type="dataBar" id="{DA0361E0-FEE1-45B6-9779-F65702DB0A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B442:F446</xm:sqref>
        </x14:conditionalFormatting>
        <x14:conditionalFormatting xmlns:xm="http://schemas.microsoft.com/office/excel/2006/main">
          <x14:cfRule type="dataBar" id="{91395713-5854-46AF-8FC9-BCFC797ACA54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B443:F446</xm:sqref>
        </x14:conditionalFormatting>
        <x14:conditionalFormatting xmlns:xm="http://schemas.microsoft.com/office/excel/2006/main">
          <x14:cfRule type="dataBar" id="{F35356C1-19AE-4616-B682-0CD27EAD1D7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B448:F452</xm:sqref>
        </x14:conditionalFormatting>
        <x14:conditionalFormatting xmlns:xm="http://schemas.microsoft.com/office/excel/2006/main">
          <x14:cfRule type="dataBar" id="{9E07372C-59FD-4117-BDE9-B78C32622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B448:F452</xm:sqref>
        </x14:conditionalFormatting>
        <x14:conditionalFormatting xmlns:xm="http://schemas.microsoft.com/office/excel/2006/main">
          <x14:cfRule type="dataBar" id="{4EA56B67-5E5F-4B7A-94ED-DA668EE70D75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B449:F452</xm:sqref>
        </x14:conditionalFormatting>
        <x14:conditionalFormatting xmlns:xm="http://schemas.microsoft.com/office/excel/2006/main">
          <x14:cfRule type="dataBar" id="{32EAF734-879E-41B4-8A89-8AD79C0E7A04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B464:F468</xm:sqref>
        </x14:conditionalFormatting>
        <x14:conditionalFormatting xmlns:xm="http://schemas.microsoft.com/office/excel/2006/main">
          <x14:cfRule type="dataBar" id="{A17BA49C-22B8-465F-A7E9-49A3C6FAF9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B464:F468</xm:sqref>
        </x14:conditionalFormatting>
        <x14:conditionalFormatting xmlns:xm="http://schemas.microsoft.com/office/excel/2006/main">
          <x14:cfRule type="dataBar" id="{DC4B4CE7-FCB0-4D85-A9B3-490E5B4E90E9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B465:F468</xm:sqref>
        </x14:conditionalFormatting>
        <x14:conditionalFormatting xmlns:xm="http://schemas.microsoft.com/office/excel/2006/main">
          <x14:cfRule type="dataBar" id="{C139F000-4066-4433-B4C9-20030ADB1AD8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B470:F474</xm:sqref>
        </x14:conditionalFormatting>
        <x14:conditionalFormatting xmlns:xm="http://schemas.microsoft.com/office/excel/2006/main">
          <x14:cfRule type="dataBar" id="{7EF257B6-74DE-43BD-B6EA-680251D44E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B470:F474</xm:sqref>
        </x14:conditionalFormatting>
        <x14:conditionalFormatting xmlns:xm="http://schemas.microsoft.com/office/excel/2006/main">
          <x14:cfRule type="dataBar" id="{73217007-5BE6-4078-8D5D-A58B18C43F9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B471:F474</xm:sqref>
        </x14:conditionalFormatting>
        <x14:conditionalFormatting xmlns:xm="http://schemas.microsoft.com/office/excel/2006/main">
          <x14:cfRule type="dataBar" id="{4783EFDC-D798-4BA0-9D40-D2F95DC0B7A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B476:F480</xm:sqref>
        </x14:conditionalFormatting>
        <x14:conditionalFormatting xmlns:xm="http://schemas.microsoft.com/office/excel/2006/main">
          <x14:cfRule type="dataBar" id="{105C2568-9173-4A38-B565-692BA7CBFD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B476:F480</xm:sqref>
        </x14:conditionalFormatting>
        <x14:conditionalFormatting xmlns:xm="http://schemas.microsoft.com/office/excel/2006/main">
          <x14:cfRule type="dataBar" id="{B38A9A15-3968-4720-A8DF-C69A0B5ECE44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B477:F480</xm:sqref>
        </x14:conditionalFormatting>
        <x14:conditionalFormatting xmlns:xm="http://schemas.microsoft.com/office/excel/2006/main">
          <x14:cfRule type="dataBar" id="{3537503A-D68F-483A-B3D0-A0BB19961A1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B482:F486</xm:sqref>
        </x14:conditionalFormatting>
        <x14:conditionalFormatting xmlns:xm="http://schemas.microsoft.com/office/excel/2006/main">
          <x14:cfRule type="dataBar" id="{43D121D2-B3D6-4976-813F-A26A0D8276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B482:F486</xm:sqref>
        </x14:conditionalFormatting>
        <x14:conditionalFormatting xmlns:xm="http://schemas.microsoft.com/office/excel/2006/main">
          <x14:cfRule type="dataBar" id="{69983E65-7868-4EC2-8319-0927BA31DF38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B483:F486</xm:sqref>
        </x14:conditionalFormatting>
        <x14:conditionalFormatting xmlns:xm="http://schemas.microsoft.com/office/excel/2006/main">
          <x14:cfRule type="dataBar" id="{3D3C15A3-BC01-4958-869D-29517414409E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B498:F502</xm:sqref>
        </x14:conditionalFormatting>
        <x14:conditionalFormatting xmlns:xm="http://schemas.microsoft.com/office/excel/2006/main">
          <x14:cfRule type="dataBar" id="{500B7772-83A9-496B-8487-F6550683A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B498:F502</xm:sqref>
        </x14:conditionalFormatting>
        <x14:conditionalFormatting xmlns:xm="http://schemas.microsoft.com/office/excel/2006/main">
          <x14:cfRule type="dataBar" id="{1B398919-A3E2-4B56-9E52-2E323EE2E77C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B499:F502</xm:sqref>
        </x14:conditionalFormatting>
        <x14:conditionalFormatting xmlns:xm="http://schemas.microsoft.com/office/excel/2006/main">
          <x14:cfRule type="dataBar" id="{8362A01D-BFC1-4568-8C4B-0AB77E226D4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B504:F508</xm:sqref>
        </x14:conditionalFormatting>
        <x14:conditionalFormatting xmlns:xm="http://schemas.microsoft.com/office/excel/2006/main">
          <x14:cfRule type="dataBar" id="{23651B8E-42A3-49C8-97C2-A5AD625F02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B504:F508</xm:sqref>
        </x14:conditionalFormatting>
        <x14:conditionalFormatting xmlns:xm="http://schemas.microsoft.com/office/excel/2006/main">
          <x14:cfRule type="dataBar" id="{79590F61-8BD6-4359-8A29-F890DBEF7473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B505:F508</xm:sqref>
        </x14:conditionalFormatting>
        <x14:conditionalFormatting xmlns:xm="http://schemas.microsoft.com/office/excel/2006/main">
          <x14:cfRule type="dataBar" id="{856B5B1E-6755-451D-ADD1-010F61E45A4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B510:F514</xm:sqref>
        </x14:conditionalFormatting>
        <x14:conditionalFormatting xmlns:xm="http://schemas.microsoft.com/office/excel/2006/main">
          <x14:cfRule type="dataBar" id="{DFCA5824-F3AB-487D-B52C-F1058A4DE1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B510:F514</xm:sqref>
        </x14:conditionalFormatting>
        <x14:conditionalFormatting xmlns:xm="http://schemas.microsoft.com/office/excel/2006/main">
          <x14:cfRule type="dataBar" id="{82A330D5-293E-4406-A40C-26E555943C6E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B511:F514</xm:sqref>
        </x14:conditionalFormatting>
        <x14:conditionalFormatting xmlns:xm="http://schemas.microsoft.com/office/excel/2006/main">
          <x14:cfRule type="dataBar" id="{D7AB3C46-9581-4091-8FA3-1ADA3CDE988C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B516:F520</xm:sqref>
        </x14:conditionalFormatting>
        <x14:conditionalFormatting xmlns:xm="http://schemas.microsoft.com/office/excel/2006/main">
          <x14:cfRule type="dataBar" id="{3D2BBFF6-3BCF-4C28-82DD-DAC7434AC7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B516:F520</xm:sqref>
        </x14:conditionalFormatting>
        <x14:conditionalFormatting xmlns:xm="http://schemas.microsoft.com/office/excel/2006/main">
          <x14:cfRule type="dataBar" id="{E2D576C5-A6E0-4883-97E8-53915F6A523D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B517:F520</xm:sqref>
        </x14:conditionalFormatting>
        <x14:conditionalFormatting xmlns:xm="http://schemas.microsoft.com/office/excel/2006/main">
          <x14:cfRule type="dataBar" id="{3DE26A50-08D3-4267-B963-3F34B4799D69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B8:F11</xm:sqref>
        </x14:conditionalFormatting>
        <x14:conditionalFormatting xmlns:xm="http://schemas.microsoft.com/office/excel/2006/main">
          <x14:cfRule type="dataBar" id="{3821D711-E4BA-4AB0-B431-14D608D68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B8:F11</xm:sqref>
        </x14:conditionalFormatting>
        <x14:conditionalFormatting xmlns:xm="http://schemas.microsoft.com/office/excel/2006/main">
          <x14:cfRule type="dataBar" id="{1F0E4F29-E6D3-40B1-A3CD-12B3DC5A816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B42:F45</xm:sqref>
        </x14:conditionalFormatting>
        <x14:conditionalFormatting xmlns:xm="http://schemas.microsoft.com/office/excel/2006/main">
          <x14:cfRule type="dataBar" id="{067DEB2D-326C-406E-9D40-4C56C0D60D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B42:F45</xm:sqref>
        </x14:conditionalFormatting>
        <x14:conditionalFormatting xmlns:xm="http://schemas.microsoft.com/office/excel/2006/main">
          <x14:cfRule type="dataBar" id="{55341093-1F0F-4851-AE63-E7EDA7B3A38E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B76:F79</xm:sqref>
        </x14:conditionalFormatting>
        <x14:conditionalFormatting xmlns:xm="http://schemas.microsoft.com/office/excel/2006/main">
          <x14:cfRule type="dataBar" id="{65D9ECB8-E24F-4934-8E52-E011CC417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B76:F79</xm:sqref>
        </x14:conditionalFormatting>
        <x14:conditionalFormatting xmlns:xm="http://schemas.microsoft.com/office/excel/2006/main">
          <x14:cfRule type="dataBar" id="{9D8A69EF-CC75-41F7-AEC9-E92A34AB753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B112:F115</xm:sqref>
        </x14:conditionalFormatting>
        <x14:conditionalFormatting xmlns:xm="http://schemas.microsoft.com/office/excel/2006/main">
          <x14:cfRule type="dataBar" id="{FBB4553B-CF86-41DE-8211-B82C4EB4F2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B112:F115</xm:sqref>
        </x14:conditionalFormatting>
        <x14:conditionalFormatting xmlns:xm="http://schemas.microsoft.com/office/excel/2006/main">
          <x14:cfRule type="dataBar" id="{21180AEE-5AF7-4808-B695-E082FD38044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B146:F149</xm:sqref>
        </x14:conditionalFormatting>
        <x14:conditionalFormatting xmlns:xm="http://schemas.microsoft.com/office/excel/2006/main">
          <x14:cfRule type="dataBar" id="{9CC0196D-6B56-44BB-ADD2-3C393AE298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B146:F149</xm:sqref>
        </x14:conditionalFormatting>
        <x14:conditionalFormatting xmlns:xm="http://schemas.microsoft.com/office/excel/2006/main">
          <x14:cfRule type="dataBar" id="{C8B16287-C8F2-4F98-A1F7-14733D2C894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B180:F183</xm:sqref>
        </x14:conditionalFormatting>
        <x14:conditionalFormatting xmlns:xm="http://schemas.microsoft.com/office/excel/2006/main">
          <x14:cfRule type="dataBar" id="{460C28E8-21BA-49D9-A83D-9115F2D2A4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B180:F183</xm:sqref>
        </x14:conditionalFormatting>
        <x14:conditionalFormatting xmlns:xm="http://schemas.microsoft.com/office/excel/2006/main">
          <x14:cfRule type="dataBar" id="{E928E4F0-B991-471A-AB42-D838E1F864E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B216:F219</xm:sqref>
        </x14:conditionalFormatting>
        <x14:conditionalFormatting xmlns:xm="http://schemas.microsoft.com/office/excel/2006/main">
          <x14:cfRule type="dataBar" id="{DAC51215-67CF-428E-9141-D2DEBC94A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B216:F219</xm:sqref>
        </x14:conditionalFormatting>
        <x14:conditionalFormatting xmlns:xm="http://schemas.microsoft.com/office/excel/2006/main">
          <x14:cfRule type="dataBar" id="{6AA72312-B729-4F44-A6F3-49165E8A36F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B250:F253</xm:sqref>
        </x14:conditionalFormatting>
        <x14:conditionalFormatting xmlns:xm="http://schemas.microsoft.com/office/excel/2006/main">
          <x14:cfRule type="dataBar" id="{C8587452-C4DB-493D-85BF-DAA2DCF443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B250:F253</xm:sqref>
        </x14:conditionalFormatting>
        <x14:conditionalFormatting xmlns:xm="http://schemas.microsoft.com/office/excel/2006/main">
          <x14:cfRule type="dataBar" id="{4752A139-E0FD-49B1-9CB0-78F614CED30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B284:F287</xm:sqref>
        </x14:conditionalFormatting>
        <x14:conditionalFormatting xmlns:xm="http://schemas.microsoft.com/office/excel/2006/main">
          <x14:cfRule type="dataBar" id="{B105347E-141B-4A2C-B59B-5877D7A01C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B284:F287</xm:sqref>
        </x14:conditionalFormatting>
        <x14:conditionalFormatting xmlns:xm="http://schemas.microsoft.com/office/excel/2006/main">
          <x14:cfRule type="dataBar" id="{45A77F8D-CDED-43A9-86A3-3F40A2AF8AA3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B320:F323</xm:sqref>
        </x14:conditionalFormatting>
        <x14:conditionalFormatting xmlns:xm="http://schemas.microsoft.com/office/excel/2006/main">
          <x14:cfRule type="dataBar" id="{8978E1CE-6A7A-42E9-B1BC-1664367E8D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B320:F323</xm:sqref>
        </x14:conditionalFormatting>
        <x14:conditionalFormatting xmlns:xm="http://schemas.microsoft.com/office/excel/2006/main">
          <x14:cfRule type="dataBar" id="{E0FD2B8E-0F35-4D56-A2CE-5A8DF4657497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B354:F357</xm:sqref>
        </x14:conditionalFormatting>
        <x14:conditionalFormatting xmlns:xm="http://schemas.microsoft.com/office/excel/2006/main">
          <x14:cfRule type="dataBar" id="{7065120E-8EAC-4F47-BC67-46D950C4AD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B354:F357</xm:sqref>
        </x14:conditionalFormatting>
        <x14:conditionalFormatting xmlns:xm="http://schemas.microsoft.com/office/excel/2006/main">
          <x14:cfRule type="dataBar" id="{A30AD2E7-2302-4F9B-A038-FBEA45C32CF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B388:F391</xm:sqref>
        </x14:conditionalFormatting>
        <x14:conditionalFormatting xmlns:xm="http://schemas.microsoft.com/office/excel/2006/main">
          <x14:cfRule type="dataBar" id="{46F8C9F2-C774-40C5-B862-57C0EFE292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B388:F391</xm:sqref>
        </x14:conditionalFormatting>
        <x14:conditionalFormatting xmlns:xm="http://schemas.microsoft.com/office/excel/2006/main">
          <x14:cfRule type="dataBar" id="{6497932F-6C8A-4C6C-85AB-387A48030A2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B424:F427</xm:sqref>
        </x14:conditionalFormatting>
        <x14:conditionalFormatting xmlns:xm="http://schemas.microsoft.com/office/excel/2006/main">
          <x14:cfRule type="dataBar" id="{72F6DBD3-116E-4F11-A260-56543533AF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B424:F427</xm:sqref>
        </x14:conditionalFormatting>
        <x14:conditionalFormatting xmlns:xm="http://schemas.microsoft.com/office/excel/2006/main">
          <x14:cfRule type="dataBar" id="{82338B0A-AA61-41D3-B4FE-B30BBE82197F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B458:F461</xm:sqref>
        </x14:conditionalFormatting>
        <x14:conditionalFormatting xmlns:xm="http://schemas.microsoft.com/office/excel/2006/main">
          <x14:cfRule type="dataBar" id="{276F15BF-9DC7-4161-B924-C436D76ECA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B458:F461</xm:sqref>
        </x14:conditionalFormatting>
        <x14:conditionalFormatting xmlns:xm="http://schemas.microsoft.com/office/excel/2006/main">
          <x14:cfRule type="dataBar" id="{51883A86-3168-49B7-A33E-7C363E796C3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B492:F495</xm:sqref>
        </x14:conditionalFormatting>
        <x14:conditionalFormatting xmlns:xm="http://schemas.microsoft.com/office/excel/2006/main">
          <x14:cfRule type="dataBar" id="{6A9975AF-DD0B-4E27-9070-4CA97B2B4F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B492:F495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60"/>
  <sheetViews>
    <sheetView workbookViewId="0">
      <selection activeCell="J44" sqref="J44:V48"/>
    </sheetView>
  </sheetViews>
  <sheetFormatPr defaultRowHeight="15.75"/>
  <cols>
    <col min="1" max="1" width="18.25" style="83" customWidth="1"/>
    <col min="2" max="2" width="7.5" style="83" bestFit="1" customWidth="1"/>
    <col min="3" max="6" width="6.25" style="83" bestFit="1" customWidth="1"/>
    <col min="7" max="7" width="6.5" style="83" bestFit="1" customWidth="1"/>
    <col min="8" max="8" width="9.5" style="83" bestFit="1" customWidth="1"/>
    <col min="9" max="9" width="5.5" style="83" bestFit="1" customWidth="1"/>
    <col min="10" max="10" width="20.5" style="141" bestFit="1" customWidth="1"/>
    <col min="11" max="15" width="5.75" style="83" bestFit="1" customWidth="1"/>
    <col min="16" max="16" width="8.625" style="83" bestFit="1" customWidth="1"/>
    <col min="17" max="17" width="11.75" style="83" bestFit="1" customWidth="1"/>
    <col min="18" max="22" width="5.75" bestFit="1" customWidth="1"/>
  </cols>
  <sheetData>
    <row r="1" spans="1:22">
      <c r="A1" s="82" t="s">
        <v>226</v>
      </c>
      <c r="B1" s="29"/>
      <c r="C1" s="29"/>
      <c r="D1" s="29"/>
      <c r="E1" s="29"/>
      <c r="F1" s="29"/>
      <c r="G1" s="29"/>
      <c r="H1" s="29"/>
      <c r="I1" s="29"/>
      <c r="J1" s="100"/>
    </row>
    <row r="2" spans="1:22">
      <c r="A2" s="85"/>
      <c r="B2" s="29"/>
      <c r="C2" s="29"/>
      <c r="D2" s="29"/>
      <c r="E2" s="29"/>
      <c r="F2" s="29"/>
      <c r="G2" s="29"/>
      <c r="H2" s="29"/>
      <c r="I2" s="29"/>
    </row>
    <row r="3" spans="1:22" s="34" customFormat="1">
      <c r="A3" s="84" t="s">
        <v>335</v>
      </c>
      <c r="B3" s="85" t="s">
        <v>268</v>
      </c>
      <c r="C3" s="85" t="s">
        <v>269</v>
      </c>
      <c r="D3" s="85" t="s">
        <v>270</v>
      </c>
      <c r="E3" s="85" t="s">
        <v>271</v>
      </c>
      <c r="F3" s="85" t="s">
        <v>272</v>
      </c>
      <c r="G3" s="86" t="s">
        <v>237</v>
      </c>
      <c r="H3" s="86" t="s">
        <v>238</v>
      </c>
      <c r="I3" s="100" t="s">
        <v>236</v>
      </c>
      <c r="J3" s="87"/>
      <c r="K3" s="157"/>
      <c r="L3" s="157"/>
      <c r="M3" s="157"/>
      <c r="N3" s="157"/>
      <c r="O3" s="157"/>
      <c r="P3" s="141"/>
      <c r="Q3" s="141"/>
    </row>
    <row r="4" spans="1:22">
      <c r="A4" s="87" t="s">
        <v>206</v>
      </c>
      <c r="B4" s="88">
        <v>10</v>
      </c>
      <c r="C4" s="89">
        <v>19</v>
      </c>
      <c r="D4" s="89">
        <v>14</v>
      </c>
      <c r="E4" s="89">
        <v>7</v>
      </c>
      <c r="F4" s="90">
        <v>12</v>
      </c>
      <c r="G4" s="103">
        <f>AVERAGE(B4:F4)</f>
        <v>12.4</v>
      </c>
      <c r="H4" s="103">
        <f>STDEVP(B4:F4)</f>
        <v>4.029888335921977</v>
      </c>
      <c r="I4" s="160">
        <f>COUNT(B4:F4)</f>
        <v>5</v>
      </c>
      <c r="J4" s="153"/>
      <c r="K4" s="103"/>
      <c r="L4" s="103"/>
      <c r="M4" s="103"/>
      <c r="N4" s="103"/>
      <c r="O4" s="103"/>
    </row>
    <row r="5" spans="1:22">
      <c r="A5" s="87" t="s">
        <v>207</v>
      </c>
      <c r="B5" s="92">
        <v>11</v>
      </c>
      <c r="C5" s="93">
        <v>7</v>
      </c>
      <c r="D5" s="93">
        <v>10</v>
      </c>
      <c r="E5" s="93">
        <v>0</v>
      </c>
      <c r="F5" s="94">
        <v>1</v>
      </c>
      <c r="G5" s="103">
        <f t="shared" ref="G5:G7" si="0">AVERAGE(B5:F5)</f>
        <v>5.8</v>
      </c>
      <c r="H5" s="103">
        <f>STDEVP(B5:F5)</f>
        <v>4.5343136195018534</v>
      </c>
      <c r="I5" s="160">
        <f t="shared" ref="I5:I7" si="1">COUNT(B5:F5)</f>
        <v>5</v>
      </c>
      <c r="J5" s="153"/>
      <c r="K5" s="103"/>
      <c r="L5" s="103"/>
      <c r="M5" s="103"/>
      <c r="N5" s="103"/>
      <c r="O5" s="103"/>
    </row>
    <row r="6" spans="1:22">
      <c r="A6" s="87" t="s">
        <v>208</v>
      </c>
      <c r="B6" s="92">
        <v>0</v>
      </c>
      <c r="C6" s="93">
        <v>0</v>
      </c>
      <c r="D6" s="93">
        <v>1</v>
      </c>
      <c r="E6" s="93">
        <v>12</v>
      </c>
      <c r="F6" s="94">
        <v>1</v>
      </c>
      <c r="G6" s="103">
        <f t="shared" si="0"/>
        <v>2.8</v>
      </c>
      <c r="H6" s="103">
        <f>STDEVP(B6:F6)</f>
        <v>4.6216880033165371</v>
      </c>
      <c r="I6" s="160">
        <f t="shared" si="1"/>
        <v>5</v>
      </c>
      <c r="J6" s="153"/>
      <c r="K6" s="103"/>
      <c r="L6" s="103"/>
      <c r="M6" s="103"/>
      <c r="N6" s="103"/>
      <c r="O6" s="103"/>
    </row>
    <row r="7" spans="1:22">
      <c r="A7" s="87" t="s">
        <v>209</v>
      </c>
      <c r="B7" s="95">
        <v>0</v>
      </c>
      <c r="C7" s="96">
        <v>1</v>
      </c>
      <c r="D7" s="96">
        <v>2</v>
      </c>
      <c r="E7" s="96">
        <v>3</v>
      </c>
      <c r="F7" s="97">
        <v>3</v>
      </c>
      <c r="G7" s="103">
        <f t="shared" si="0"/>
        <v>1.8</v>
      </c>
      <c r="H7" s="103">
        <f>STDEVP(B7:F7)</f>
        <v>1.1661903789690602</v>
      </c>
      <c r="I7" s="160">
        <f t="shared" si="1"/>
        <v>5</v>
      </c>
      <c r="J7" s="153"/>
      <c r="K7" s="103"/>
      <c r="L7" s="103"/>
      <c r="M7" s="103"/>
      <c r="N7" s="103"/>
      <c r="O7" s="103"/>
    </row>
    <row r="8" spans="1:22">
      <c r="A8" s="86" t="s">
        <v>237</v>
      </c>
      <c r="B8" s="103">
        <f>AVERAGE(B4:B7)</f>
        <v>5.25</v>
      </c>
      <c r="C8" s="103">
        <f>AVERAGE(C4:C7)</f>
        <v>6.75</v>
      </c>
      <c r="D8" s="103">
        <f>AVERAGE(D4:D7)</f>
        <v>6.75</v>
      </c>
      <c r="E8" s="103">
        <f>AVERAGE(E4:E7)</f>
        <v>5.5</v>
      </c>
      <c r="F8" s="103">
        <f>AVERAGE(F4:F7)</f>
        <v>4.25</v>
      </c>
      <c r="G8" s="115">
        <f>AVERAGE(B4:F7)</f>
        <v>5.7</v>
      </c>
      <c r="H8" s="116"/>
      <c r="I8" s="117"/>
      <c r="J8" s="153"/>
      <c r="K8" s="103"/>
      <c r="L8" s="103"/>
      <c r="M8" s="103"/>
      <c r="N8" s="103"/>
      <c r="O8" s="103"/>
    </row>
    <row r="9" spans="1:22">
      <c r="A9" s="86" t="s">
        <v>238</v>
      </c>
      <c r="B9" s="103">
        <f>STDEVP(B4:B7)</f>
        <v>5.2618912949622967</v>
      </c>
      <c r="C9" s="103">
        <f>STDEVP(C4:C7)</f>
        <v>7.5622417311270871</v>
      </c>
      <c r="D9" s="103">
        <f>STDEVP(D4:D7)</f>
        <v>5.4486236794258422</v>
      </c>
      <c r="E9" s="103">
        <f>STDEVP(E4:E7)</f>
        <v>4.5</v>
      </c>
      <c r="F9" s="103">
        <f>STDEVP(F4:F7)</f>
        <v>4.5483513496650634</v>
      </c>
      <c r="G9" s="122"/>
      <c r="H9" s="103">
        <f>STDEVP(B4:F7)</f>
        <v>5.6577380639262538</v>
      </c>
      <c r="I9" s="123"/>
      <c r="J9" s="153"/>
      <c r="K9" s="103"/>
      <c r="L9" s="103"/>
      <c r="M9" s="103"/>
      <c r="N9" s="103"/>
      <c r="O9" s="103"/>
    </row>
    <row r="10" spans="1:22" s="38" customFormat="1">
      <c r="A10" s="176" t="s">
        <v>236</v>
      </c>
      <c r="B10" s="160">
        <f>COUNT(B4:B7)</f>
        <v>4</v>
      </c>
      <c r="C10" s="160">
        <f t="shared" ref="C10:F10" si="2">COUNT(C4:C7)</f>
        <v>4</v>
      </c>
      <c r="D10" s="160">
        <f t="shared" si="2"/>
        <v>4</v>
      </c>
      <c r="E10" s="160">
        <f t="shared" si="2"/>
        <v>4</v>
      </c>
      <c r="F10" s="160">
        <f t="shared" si="2"/>
        <v>4</v>
      </c>
      <c r="G10" s="177"/>
      <c r="H10" s="178"/>
      <c r="I10" s="179">
        <f>COUNT(B4:F7)</f>
        <v>20</v>
      </c>
      <c r="J10" s="163"/>
      <c r="K10" s="160"/>
      <c r="L10" s="160"/>
      <c r="M10" s="160"/>
      <c r="N10" s="160"/>
      <c r="O10" s="160"/>
      <c r="P10" s="164"/>
      <c r="Q10" s="164"/>
    </row>
    <row r="11" spans="1:22">
      <c r="A11" s="85"/>
      <c r="B11" s="103"/>
      <c r="C11" s="103"/>
      <c r="D11" s="103"/>
      <c r="E11" s="103"/>
      <c r="F11" s="103"/>
      <c r="G11" s="103"/>
      <c r="H11" s="103"/>
      <c r="I11" s="103"/>
      <c r="J11" s="153"/>
      <c r="K11" s="103"/>
      <c r="L11" s="103"/>
      <c r="M11" s="103"/>
      <c r="N11" s="103"/>
      <c r="O11" s="103"/>
    </row>
    <row r="12" spans="1:22">
      <c r="A12" s="85"/>
      <c r="B12" s="103"/>
      <c r="C12" s="103"/>
      <c r="D12" s="103"/>
      <c r="E12" s="103"/>
      <c r="F12" s="103"/>
      <c r="G12" s="103"/>
      <c r="H12" s="103"/>
      <c r="I12" s="103"/>
      <c r="J12" s="153"/>
      <c r="K12" s="103"/>
      <c r="L12" s="103"/>
      <c r="M12" s="103"/>
      <c r="N12" s="103"/>
      <c r="O12" s="103"/>
    </row>
    <row r="13" spans="1:22" s="34" customFormat="1">
      <c r="A13" s="100" t="s">
        <v>257</v>
      </c>
      <c r="B13" s="153" t="s">
        <v>268</v>
      </c>
      <c r="C13" s="153" t="s">
        <v>269</v>
      </c>
      <c r="D13" s="153" t="s">
        <v>270</v>
      </c>
      <c r="E13" s="153" t="s">
        <v>271</v>
      </c>
      <c r="F13" s="153" t="s">
        <v>272</v>
      </c>
      <c r="G13" s="153"/>
      <c r="H13" s="153"/>
      <c r="I13" s="153"/>
      <c r="J13" s="41" t="s">
        <v>540</v>
      </c>
      <c r="K13" s="42" t="s">
        <v>268</v>
      </c>
      <c r="L13" s="42" t="s">
        <v>269</v>
      </c>
      <c r="M13" s="42" t="s">
        <v>270</v>
      </c>
      <c r="N13" s="42" t="s">
        <v>271</v>
      </c>
      <c r="O13" s="43" t="s">
        <v>272</v>
      </c>
      <c r="P13" s="141"/>
      <c r="Q13" s="41" t="s">
        <v>541</v>
      </c>
      <c r="R13" s="42" t="s">
        <v>268</v>
      </c>
      <c r="S13" s="42" t="s">
        <v>269</v>
      </c>
      <c r="T13" s="42" t="s">
        <v>270</v>
      </c>
      <c r="U13" s="42" t="s">
        <v>271</v>
      </c>
      <c r="V13" s="43" t="s">
        <v>272</v>
      </c>
    </row>
    <row r="14" spans="1:22">
      <c r="A14" s="87" t="s">
        <v>206</v>
      </c>
      <c r="B14" s="103">
        <f>(B4-$G4)/$H4</f>
        <v>-0.59555000038255823</v>
      </c>
      <c r="C14" s="103">
        <f t="shared" ref="B14:F17" si="3">(C4-$G4)/$H4</f>
        <v>1.6377625010520347</v>
      </c>
      <c r="D14" s="103">
        <f t="shared" si="3"/>
        <v>0.39703333358837201</v>
      </c>
      <c r="E14" s="103">
        <f t="shared" si="3"/>
        <v>-1.3399875008607558</v>
      </c>
      <c r="F14" s="103">
        <f t="shared" si="3"/>
        <v>-9.9258333397093113E-2</v>
      </c>
      <c r="G14" s="103"/>
      <c r="H14" s="103"/>
      <c r="I14" s="103"/>
      <c r="J14" s="44" t="s">
        <v>206</v>
      </c>
      <c r="K14" s="46">
        <v>-0.59555000038255823</v>
      </c>
      <c r="L14" s="47">
        <v>1.6377625010520347</v>
      </c>
      <c r="M14" s="47">
        <v>0.39703333358837201</v>
      </c>
      <c r="N14" s="47">
        <v>-1.3399875008607558</v>
      </c>
      <c r="O14" s="48">
        <v>-9.9258333397093113E-2</v>
      </c>
      <c r="Q14" s="174" t="s">
        <v>206</v>
      </c>
      <c r="R14" s="46">
        <v>0.90271724247660179</v>
      </c>
      <c r="S14" s="47">
        <v>1.6198900320228513</v>
      </c>
      <c r="T14" s="47">
        <v>1.3306112564492583</v>
      </c>
      <c r="U14" s="47">
        <v>0.33333333333333331</v>
      </c>
      <c r="V14" s="48">
        <v>1.7039141007808694</v>
      </c>
    </row>
    <row r="15" spans="1:22">
      <c r="A15" s="87" t="s">
        <v>207</v>
      </c>
      <c r="B15" s="103">
        <f t="shared" si="3"/>
        <v>1.1468108376172004</v>
      </c>
      <c r="C15" s="103">
        <f t="shared" si="3"/>
        <v>0.26464865483473859</v>
      </c>
      <c r="D15" s="103">
        <f t="shared" si="3"/>
        <v>0.92627029192158494</v>
      </c>
      <c r="E15" s="103">
        <f t="shared" si="3"/>
        <v>-1.2791351650345695</v>
      </c>
      <c r="F15" s="103">
        <f t="shared" si="3"/>
        <v>-1.0585946193389542</v>
      </c>
      <c r="G15" s="103"/>
      <c r="H15" s="103"/>
      <c r="I15" s="103"/>
      <c r="J15" s="44" t="s">
        <v>207</v>
      </c>
      <c r="K15" s="49">
        <v>1.1468108376172004</v>
      </c>
      <c r="L15" s="50">
        <v>0.26464865483473859</v>
      </c>
      <c r="M15" s="50">
        <v>0.92627029192158494</v>
      </c>
      <c r="N15" s="50">
        <v>-1.2791351650345695</v>
      </c>
      <c r="O15" s="51">
        <v>-1.0585946193389542</v>
      </c>
      <c r="Q15" s="174" t="s">
        <v>207</v>
      </c>
      <c r="R15" s="49">
        <v>1.0927629777348338</v>
      </c>
      <c r="S15" s="50">
        <v>3.3058980245364314E-2</v>
      </c>
      <c r="T15" s="50">
        <v>0.59648090806346055</v>
      </c>
      <c r="U15" s="50">
        <v>-1.2222222222222223</v>
      </c>
      <c r="V15" s="51">
        <v>-0.7145446229081065</v>
      </c>
    </row>
    <row r="16" spans="1:22">
      <c r="A16" s="87" t="s">
        <v>208</v>
      </c>
      <c r="B16" s="103">
        <f t="shared" si="3"/>
        <v>-0.60583925137108163</v>
      </c>
      <c r="C16" s="103">
        <f t="shared" si="3"/>
        <v>-0.60583925137108163</v>
      </c>
      <c r="D16" s="103">
        <f t="shared" si="3"/>
        <v>-0.38946809016712391</v>
      </c>
      <c r="E16" s="103">
        <f t="shared" si="3"/>
        <v>1.9906146830764111</v>
      </c>
      <c r="F16" s="103">
        <f t="shared" si="3"/>
        <v>-0.38946809016712391</v>
      </c>
      <c r="G16" s="103"/>
      <c r="H16" s="103"/>
      <c r="I16" s="103"/>
      <c r="J16" s="44" t="s">
        <v>208</v>
      </c>
      <c r="K16" s="49">
        <v>-0.60583925137108163</v>
      </c>
      <c r="L16" s="50">
        <v>-0.60583925137108163</v>
      </c>
      <c r="M16" s="50">
        <v>-0.38946809016712391</v>
      </c>
      <c r="N16" s="50">
        <v>1.9906146830764111</v>
      </c>
      <c r="O16" s="51">
        <v>-0.38946809016712391</v>
      </c>
      <c r="Q16" s="174" t="s">
        <v>208</v>
      </c>
      <c r="R16" s="49">
        <v>-0.99774011010571784</v>
      </c>
      <c r="S16" s="50">
        <v>-0.89259246662483649</v>
      </c>
      <c r="T16" s="50">
        <v>-1.0553123758045841</v>
      </c>
      <c r="U16" s="50">
        <v>1.4444444444444444</v>
      </c>
      <c r="V16" s="51">
        <v>-0.7145446229081065</v>
      </c>
    </row>
    <row r="17" spans="1:22">
      <c r="A17" s="87" t="s">
        <v>209</v>
      </c>
      <c r="B17" s="103">
        <f t="shared" si="3"/>
        <v>-1.5434872662825794</v>
      </c>
      <c r="C17" s="103">
        <f t="shared" si="3"/>
        <v>-0.68599434057003528</v>
      </c>
      <c r="D17" s="103">
        <f t="shared" si="3"/>
        <v>0.17149858514250879</v>
      </c>
      <c r="E17" s="103">
        <f t="shared" si="3"/>
        <v>1.0289915108550529</v>
      </c>
      <c r="F17" s="103">
        <f t="shared" si="3"/>
        <v>1.0289915108550529</v>
      </c>
      <c r="G17" s="103"/>
      <c r="H17" s="103"/>
      <c r="I17" s="103"/>
      <c r="J17" s="45" t="s">
        <v>209</v>
      </c>
      <c r="K17" s="52">
        <v>-1.5434872662825794</v>
      </c>
      <c r="L17" s="53">
        <v>-0.68599434057003528</v>
      </c>
      <c r="M17" s="53">
        <v>0.17149858514250879</v>
      </c>
      <c r="N17" s="53">
        <v>1.0289915108550529</v>
      </c>
      <c r="O17" s="54">
        <v>1.0289915108550529</v>
      </c>
      <c r="Q17" s="175" t="s">
        <v>209</v>
      </c>
      <c r="R17" s="52">
        <v>-0.99774011010571784</v>
      </c>
      <c r="S17" s="53">
        <v>-0.76035654564337918</v>
      </c>
      <c r="T17" s="53">
        <v>-0.87177978870813466</v>
      </c>
      <c r="U17" s="53">
        <v>-0.55555555555555558</v>
      </c>
      <c r="V17" s="54">
        <v>-0.27482485496465636</v>
      </c>
    </row>
    <row r="18" spans="1:22">
      <c r="A18" s="87"/>
      <c r="B18" s="103"/>
      <c r="C18" s="103"/>
      <c r="D18" s="103"/>
      <c r="E18" s="103"/>
      <c r="F18" s="103"/>
      <c r="G18" s="103"/>
      <c r="H18" s="103"/>
      <c r="I18" s="103"/>
      <c r="J18" s="153"/>
      <c r="K18" s="103"/>
      <c r="L18" s="103"/>
      <c r="M18" s="103"/>
      <c r="N18" s="103"/>
      <c r="O18" s="103"/>
    </row>
    <row r="19" spans="1:22" s="34" customFormat="1">
      <c r="A19" s="100" t="s">
        <v>265</v>
      </c>
      <c r="B19" s="153" t="s">
        <v>268</v>
      </c>
      <c r="C19" s="153" t="s">
        <v>269</v>
      </c>
      <c r="D19" s="153" t="s">
        <v>270</v>
      </c>
      <c r="E19" s="153" t="s">
        <v>271</v>
      </c>
      <c r="F19" s="153" t="s">
        <v>272</v>
      </c>
      <c r="G19" s="153"/>
      <c r="H19" s="153"/>
      <c r="I19" s="153"/>
      <c r="J19" s="41" t="s">
        <v>542</v>
      </c>
      <c r="K19" s="42" t="s">
        <v>268</v>
      </c>
      <c r="L19" s="42" t="s">
        <v>269</v>
      </c>
      <c r="M19" s="42" t="s">
        <v>270</v>
      </c>
      <c r="N19" s="42" t="s">
        <v>271</v>
      </c>
      <c r="O19" s="43" t="s">
        <v>272</v>
      </c>
      <c r="P19" s="141"/>
      <c r="Q19" s="41" t="s">
        <v>543</v>
      </c>
      <c r="R19" s="42" t="s">
        <v>268</v>
      </c>
      <c r="S19" s="42" t="s">
        <v>269</v>
      </c>
      <c r="T19" s="42" t="s">
        <v>270</v>
      </c>
      <c r="U19" s="42" t="s">
        <v>271</v>
      </c>
      <c r="V19" s="43" t="s">
        <v>272</v>
      </c>
    </row>
    <row r="20" spans="1:22">
      <c r="A20" s="87" t="s">
        <v>206</v>
      </c>
      <c r="B20" s="103">
        <f>(B4-B$8)/B$9</f>
        <v>0.90271724247660179</v>
      </c>
      <c r="C20" s="103">
        <f t="shared" ref="B20:F23" si="4">(C4-C$8)/C$9</f>
        <v>1.6198900320228513</v>
      </c>
      <c r="D20" s="103">
        <f t="shared" si="4"/>
        <v>1.3306112564492583</v>
      </c>
      <c r="E20" s="103">
        <f t="shared" si="4"/>
        <v>0.33333333333333331</v>
      </c>
      <c r="F20" s="103">
        <f t="shared" si="4"/>
        <v>1.7039141007808694</v>
      </c>
      <c r="G20" s="103"/>
      <c r="H20" s="103"/>
      <c r="I20" s="103"/>
      <c r="J20" s="44" t="s">
        <v>206</v>
      </c>
      <c r="K20" s="46">
        <v>0.25291172341076673</v>
      </c>
      <c r="L20" s="47">
        <v>1.6261032175252781</v>
      </c>
      <c r="M20" s="47">
        <v>0.93369085629367576</v>
      </c>
      <c r="N20" s="47">
        <v>-0.45721583289383794</v>
      </c>
      <c r="O20" s="48">
        <v>0.85681914581488094</v>
      </c>
      <c r="Q20" s="174" t="s">
        <v>206</v>
      </c>
      <c r="R20" s="46">
        <v>0.76002104576328933</v>
      </c>
      <c r="S20" s="47">
        <v>2.3507627694538948</v>
      </c>
      <c r="T20" s="47">
        <v>1.4670173674035587</v>
      </c>
      <c r="U20" s="47">
        <v>0.22977380453308743</v>
      </c>
      <c r="V20" s="48">
        <v>1.1135192065834238</v>
      </c>
    </row>
    <row r="21" spans="1:22">
      <c r="A21" s="87" t="s">
        <v>207</v>
      </c>
      <c r="B21" s="103">
        <f t="shared" si="4"/>
        <v>1.0927629777348338</v>
      </c>
      <c r="C21" s="103">
        <f t="shared" si="4"/>
        <v>3.3058980245364314E-2</v>
      </c>
      <c r="D21" s="103">
        <f t="shared" si="4"/>
        <v>0.59648090806346055</v>
      </c>
      <c r="E21" s="103">
        <f t="shared" si="4"/>
        <v>-1.2222222222222223</v>
      </c>
      <c r="F21" s="103">
        <f t="shared" si="4"/>
        <v>-0.7145446229081065</v>
      </c>
      <c r="G21" s="103"/>
      <c r="H21" s="103"/>
      <c r="I21" s="103"/>
      <c r="J21" s="44" t="s">
        <v>207</v>
      </c>
      <c r="K21" s="49">
        <v>1.1177798030574335</v>
      </c>
      <c r="L21" s="50">
        <v>0.11986883521552348</v>
      </c>
      <c r="M21" s="50">
        <v>0.74627334389851696</v>
      </c>
      <c r="N21" s="50">
        <v>-1.2507867753901458</v>
      </c>
      <c r="O21" s="51">
        <v>-0.88630374755949692</v>
      </c>
      <c r="Q21" s="174" t="s">
        <v>207</v>
      </c>
      <c r="R21" s="49">
        <v>0.93677012617335664</v>
      </c>
      <c r="S21" s="50">
        <v>0.22977380453308743</v>
      </c>
      <c r="T21" s="50">
        <v>0.76002104576328933</v>
      </c>
      <c r="U21" s="50">
        <v>-1.0074697583373835</v>
      </c>
      <c r="V21" s="51">
        <v>-0.8307206779273163</v>
      </c>
    </row>
    <row r="22" spans="1:22">
      <c r="A22" s="87" t="s">
        <v>208</v>
      </c>
      <c r="B22" s="103">
        <f t="shared" si="4"/>
        <v>-0.99774011010571784</v>
      </c>
      <c r="C22" s="103">
        <f t="shared" si="4"/>
        <v>-0.89259246662483649</v>
      </c>
      <c r="D22" s="103">
        <f t="shared" si="4"/>
        <v>-1.0553123758045841</v>
      </c>
      <c r="E22" s="103">
        <f t="shared" si="4"/>
        <v>1.4444444444444444</v>
      </c>
      <c r="F22" s="103">
        <f t="shared" si="4"/>
        <v>-0.7145446229081065</v>
      </c>
      <c r="G22" s="103"/>
      <c r="H22" s="103"/>
      <c r="I22" s="103"/>
      <c r="J22" s="44" t="s">
        <v>208</v>
      </c>
      <c r="K22" s="49">
        <v>-0.8144822596204454</v>
      </c>
      <c r="L22" s="50">
        <v>-0.7838193594470938</v>
      </c>
      <c r="M22" s="50">
        <v>-0.74972853252779958</v>
      </c>
      <c r="N22" s="50">
        <v>1.7211726595221921</v>
      </c>
      <c r="O22" s="51">
        <v>-0.55070646979917415</v>
      </c>
      <c r="Q22" s="174" t="s">
        <v>208</v>
      </c>
      <c r="R22" s="49">
        <v>-1.0074697583373835</v>
      </c>
      <c r="S22" s="50">
        <v>-1.0074697583373835</v>
      </c>
      <c r="T22" s="50">
        <v>-0.8307206779273163</v>
      </c>
      <c r="U22" s="50">
        <v>1.1135192065834238</v>
      </c>
      <c r="V22" s="51">
        <v>-0.8307206779273163</v>
      </c>
    </row>
    <row r="23" spans="1:22">
      <c r="A23" s="87" t="s">
        <v>281</v>
      </c>
      <c r="B23" s="103">
        <f t="shared" si="4"/>
        <v>-0.99774011010571784</v>
      </c>
      <c r="C23" s="103">
        <f t="shared" si="4"/>
        <v>-0.76035654564337918</v>
      </c>
      <c r="D23" s="103">
        <f t="shared" si="4"/>
        <v>-0.87177978870813466</v>
      </c>
      <c r="E23" s="103">
        <f t="shared" si="4"/>
        <v>-0.55555555555555558</v>
      </c>
      <c r="F23" s="103">
        <f t="shared" si="4"/>
        <v>-0.27482485496465636</v>
      </c>
      <c r="G23" s="103"/>
      <c r="H23" s="103"/>
      <c r="I23" s="103"/>
      <c r="J23" s="45" t="s">
        <v>209</v>
      </c>
      <c r="K23" s="52">
        <v>-1.0967502215460003</v>
      </c>
      <c r="L23" s="53">
        <v>-0.75042114292481432</v>
      </c>
      <c r="M23" s="53">
        <v>-0.68785002266625561</v>
      </c>
      <c r="N23" s="53">
        <v>-0.22943104856221394</v>
      </c>
      <c r="O23" s="54">
        <v>-8.7496079955917492E-3</v>
      </c>
      <c r="Q23" s="175" t="s">
        <v>209</v>
      </c>
      <c r="R23" s="52">
        <v>-1.0074697583373835</v>
      </c>
      <c r="S23" s="53">
        <v>-0.8307206779273163</v>
      </c>
      <c r="T23" s="53">
        <v>-0.65397159751724898</v>
      </c>
      <c r="U23" s="53">
        <v>-0.47722251710718172</v>
      </c>
      <c r="V23" s="54">
        <v>-0.47722251710718172</v>
      </c>
    </row>
    <row r="24" spans="1:22">
      <c r="A24" s="87"/>
      <c r="B24" s="103"/>
      <c r="C24" s="103"/>
      <c r="D24" s="103"/>
      <c r="E24" s="103"/>
      <c r="F24" s="103"/>
      <c r="G24" s="103"/>
      <c r="H24" s="103"/>
      <c r="I24" s="103"/>
      <c r="J24" s="153"/>
      <c r="K24" s="103"/>
      <c r="L24" s="103"/>
      <c r="M24" s="103"/>
      <c r="N24" s="103"/>
      <c r="O24" s="103"/>
    </row>
    <row r="25" spans="1:22" s="34" customFormat="1">
      <c r="A25" s="180" t="s">
        <v>251</v>
      </c>
      <c r="B25" s="153" t="s">
        <v>268</v>
      </c>
      <c r="C25" s="153" t="s">
        <v>269</v>
      </c>
      <c r="D25" s="153" t="s">
        <v>270</v>
      </c>
      <c r="E25" s="153" t="s">
        <v>271</v>
      </c>
      <c r="F25" s="153" t="s">
        <v>272</v>
      </c>
      <c r="G25" s="153"/>
      <c r="H25" s="153"/>
      <c r="I25" s="153"/>
      <c r="J25"/>
      <c r="K25"/>
      <c r="L25"/>
      <c r="M25"/>
      <c r="N25"/>
      <c r="O25"/>
      <c r="P25" s="141"/>
      <c r="Q25" s="83"/>
      <c r="R25"/>
      <c r="S25"/>
      <c r="T25"/>
      <c r="U25"/>
      <c r="V25"/>
    </row>
    <row r="26" spans="1:22">
      <c r="A26" s="87" t="s">
        <v>206</v>
      </c>
      <c r="B26" s="103">
        <f>(B4*2-$G4-B$8)/($H4+B$9)</f>
        <v>0.25291172341076673</v>
      </c>
      <c r="C26" s="103">
        <f t="shared" ref="C26:F26" si="5">(C4*2-$G4-C$8)/($H4+C$9)</f>
        <v>1.6261032175252781</v>
      </c>
      <c r="D26" s="103">
        <f t="shared" si="5"/>
        <v>0.93369085629367576</v>
      </c>
      <c r="E26" s="103">
        <f t="shared" si="5"/>
        <v>-0.45721583289383794</v>
      </c>
      <c r="F26" s="103">
        <f t="shared" si="5"/>
        <v>0.85681914581488094</v>
      </c>
      <c r="G26" s="103"/>
      <c r="H26" s="103"/>
      <c r="I26" s="103"/>
      <c r="J26"/>
      <c r="K26"/>
      <c r="L26"/>
      <c r="M26"/>
      <c r="N26"/>
      <c r="O26"/>
    </row>
    <row r="27" spans="1:22">
      <c r="A27" s="87" t="s">
        <v>207</v>
      </c>
      <c r="B27" s="103">
        <f t="shared" ref="B27:F27" si="6">(B5*2-$G5-B$8)/($H5+B$9)</f>
        <v>1.1177798030574335</v>
      </c>
      <c r="C27" s="103">
        <f t="shared" si="6"/>
        <v>0.11986883521552348</v>
      </c>
      <c r="D27" s="103">
        <f>(D5*2-$G5-D$8)/($H5+D$9)</f>
        <v>0.74627334389851696</v>
      </c>
      <c r="E27" s="103">
        <f t="shared" si="6"/>
        <v>-1.2507867753901458</v>
      </c>
      <c r="F27" s="103">
        <f t="shared" si="6"/>
        <v>-0.88630374755949692</v>
      </c>
      <c r="G27" s="103"/>
      <c r="H27" s="103"/>
      <c r="I27" s="103"/>
      <c r="J27"/>
      <c r="K27"/>
      <c r="L27"/>
      <c r="M27"/>
      <c r="N27"/>
      <c r="O27"/>
    </row>
    <row r="28" spans="1:22">
      <c r="A28" s="87" t="s">
        <v>208</v>
      </c>
      <c r="B28" s="103">
        <f t="shared" ref="B28:F28" si="7">(B6*2-$G6-B$8)/($H6+B$9)</f>
        <v>-0.8144822596204454</v>
      </c>
      <c r="C28" s="103">
        <f t="shared" si="7"/>
        <v>-0.7838193594470938</v>
      </c>
      <c r="D28" s="103">
        <f t="shared" si="7"/>
        <v>-0.74972853252779958</v>
      </c>
      <c r="E28" s="103">
        <f t="shared" si="7"/>
        <v>1.7211726595221921</v>
      </c>
      <c r="F28" s="103">
        <f t="shared" si="7"/>
        <v>-0.55070646979917415</v>
      </c>
      <c r="G28" s="103"/>
      <c r="H28" s="103"/>
      <c r="I28" s="103"/>
      <c r="J28"/>
      <c r="K28"/>
      <c r="L28"/>
      <c r="M28"/>
      <c r="N28"/>
      <c r="O28"/>
    </row>
    <row r="29" spans="1:22">
      <c r="A29" s="87" t="s">
        <v>209</v>
      </c>
      <c r="B29" s="103">
        <f t="shared" ref="B29:E29" si="8">(B7*2-$G7-B$8)/($H7+B$9)</f>
        <v>-1.0967502215460003</v>
      </c>
      <c r="C29" s="103">
        <f t="shared" si="8"/>
        <v>-0.75042114292481432</v>
      </c>
      <c r="D29" s="103">
        <f t="shared" si="8"/>
        <v>-0.68785002266625561</v>
      </c>
      <c r="E29" s="103">
        <f t="shared" si="8"/>
        <v>-0.22943104856221394</v>
      </c>
      <c r="F29" s="103">
        <f>(F7*2-$G7-F$8)/($H7+F$9)</f>
        <v>-8.7496079955917492E-3</v>
      </c>
      <c r="G29" s="103"/>
      <c r="H29" s="103"/>
      <c r="I29" s="103"/>
      <c r="J29"/>
      <c r="K29"/>
      <c r="L29"/>
      <c r="M29"/>
      <c r="N29"/>
      <c r="O29"/>
    </row>
    <row r="30" spans="1:22">
      <c r="A30" s="87"/>
      <c r="B30" s="103"/>
      <c r="C30" s="103"/>
      <c r="D30" s="103"/>
      <c r="E30" s="103"/>
      <c r="F30" s="103"/>
      <c r="G30" s="103"/>
      <c r="H30" s="103"/>
      <c r="I30" s="103"/>
      <c r="J30"/>
      <c r="K30"/>
      <c r="L30"/>
      <c r="M30"/>
      <c r="N30"/>
      <c r="O30"/>
    </row>
    <row r="31" spans="1:22" s="34" customFormat="1">
      <c r="A31" s="100" t="s">
        <v>243</v>
      </c>
      <c r="B31" s="153" t="s">
        <v>268</v>
      </c>
      <c r="C31" s="153" t="s">
        <v>269</v>
      </c>
      <c r="D31" s="153" t="s">
        <v>270</v>
      </c>
      <c r="E31" s="153" t="s">
        <v>271</v>
      </c>
      <c r="F31" s="153" t="s">
        <v>272</v>
      </c>
      <c r="G31" s="153"/>
      <c r="H31" s="153"/>
      <c r="I31" s="153"/>
      <c r="J31"/>
      <c r="K31"/>
      <c r="L31"/>
      <c r="M31"/>
      <c r="N31"/>
      <c r="O31"/>
      <c r="P31" s="141"/>
      <c r="Q31" s="83"/>
      <c r="R31"/>
      <c r="S31"/>
      <c r="T31"/>
      <c r="U31"/>
      <c r="V31"/>
    </row>
    <row r="32" spans="1:22">
      <c r="A32" s="87" t="s">
        <v>206</v>
      </c>
      <c r="B32" s="103">
        <f t="shared" ref="B32:F33" si="9">(B4-$G$8)/$H$9</f>
        <v>0.76002104576328944</v>
      </c>
      <c r="C32" s="103">
        <f t="shared" si="9"/>
        <v>2.3507627694538953</v>
      </c>
      <c r="D32" s="103">
        <f t="shared" si="9"/>
        <v>1.4670173674035589</v>
      </c>
      <c r="E32" s="103">
        <f t="shared" si="9"/>
        <v>0.22977380453308749</v>
      </c>
      <c r="F32" s="103">
        <f t="shared" si="9"/>
        <v>1.1135192065834241</v>
      </c>
      <c r="G32" s="103"/>
      <c r="H32" s="103"/>
      <c r="I32" s="103"/>
      <c r="J32"/>
      <c r="K32"/>
      <c r="L32"/>
      <c r="M32"/>
      <c r="N32"/>
      <c r="O32"/>
    </row>
    <row r="33" spans="1:22">
      <c r="A33" s="87" t="s">
        <v>207</v>
      </c>
      <c r="B33" s="103">
        <f t="shared" si="9"/>
        <v>0.93677012617335675</v>
      </c>
      <c r="C33" s="103">
        <f t="shared" si="9"/>
        <v>0.22977380453308749</v>
      </c>
      <c r="D33" s="103">
        <f t="shared" si="9"/>
        <v>0.76002104576328944</v>
      </c>
      <c r="E33" s="103">
        <f t="shared" si="9"/>
        <v>-1.0074697583373837</v>
      </c>
      <c r="F33" s="103">
        <f t="shared" si="9"/>
        <v>-0.83072067792731641</v>
      </c>
      <c r="G33" s="103"/>
      <c r="H33" s="103"/>
      <c r="I33" s="103"/>
      <c r="J33"/>
      <c r="K33"/>
      <c r="L33"/>
      <c r="M33"/>
      <c r="N33"/>
      <c r="O33"/>
    </row>
    <row r="34" spans="1:22">
      <c r="A34" s="87" t="s">
        <v>208</v>
      </c>
      <c r="B34" s="103">
        <f t="shared" ref="B34:F34" si="10">(B6-$G$8)/$H$9</f>
        <v>-1.0074697583373837</v>
      </c>
      <c r="C34" s="103">
        <f t="shared" si="10"/>
        <v>-1.0074697583373837</v>
      </c>
      <c r="D34" s="103">
        <f t="shared" si="10"/>
        <v>-0.83072067792731641</v>
      </c>
      <c r="E34" s="103">
        <f t="shared" si="10"/>
        <v>1.1135192065834241</v>
      </c>
      <c r="F34" s="103">
        <f t="shared" si="10"/>
        <v>-0.83072067792731641</v>
      </c>
      <c r="G34" s="103"/>
      <c r="H34" s="103"/>
      <c r="I34" s="103"/>
      <c r="J34"/>
      <c r="K34"/>
      <c r="L34"/>
      <c r="M34"/>
      <c r="N34"/>
      <c r="O34"/>
    </row>
    <row r="35" spans="1:22">
      <c r="A35" s="87" t="s">
        <v>209</v>
      </c>
      <c r="B35" s="103">
        <f t="shared" ref="B35:F35" si="11">(B7-$G$8)/$H$9</f>
        <v>-1.0074697583373837</v>
      </c>
      <c r="C35" s="103">
        <f t="shared" si="11"/>
        <v>-0.83072067792731641</v>
      </c>
      <c r="D35" s="103">
        <f t="shared" si="11"/>
        <v>-0.65397159751724909</v>
      </c>
      <c r="E35" s="103">
        <f t="shared" si="11"/>
        <v>-0.47722251710718178</v>
      </c>
      <c r="F35" s="103">
        <f t="shared" si="11"/>
        <v>-0.47722251710718178</v>
      </c>
      <c r="G35" s="103"/>
      <c r="H35" s="103"/>
      <c r="I35" s="103"/>
      <c r="J35"/>
      <c r="K35"/>
      <c r="L35"/>
      <c r="M35"/>
      <c r="N35"/>
      <c r="O35"/>
    </row>
    <row r="36" spans="1:22">
      <c r="A36" s="85"/>
      <c r="B36" s="103"/>
      <c r="C36" s="103"/>
      <c r="D36" s="103"/>
      <c r="E36" s="103"/>
      <c r="F36" s="103"/>
      <c r="G36" s="103"/>
      <c r="H36" s="103"/>
      <c r="I36" s="103"/>
      <c r="J36" s="153"/>
      <c r="K36" s="103"/>
      <c r="L36" s="103"/>
      <c r="M36" s="103"/>
      <c r="N36" s="103"/>
      <c r="O36" s="103"/>
    </row>
    <row r="37" spans="1:22">
      <c r="J37" s="83"/>
    </row>
    <row r="38" spans="1:22">
      <c r="A38" s="153" t="s">
        <v>258</v>
      </c>
      <c r="B38" s="153" t="s">
        <v>268</v>
      </c>
      <c r="C38" s="153" t="s">
        <v>269</v>
      </c>
      <c r="D38" s="153" t="s">
        <v>270</v>
      </c>
      <c r="E38" s="153" t="s">
        <v>271</v>
      </c>
      <c r="F38" s="153" t="s">
        <v>272</v>
      </c>
      <c r="J38" s="41" t="s">
        <v>537</v>
      </c>
      <c r="K38" s="172" t="s">
        <v>268</v>
      </c>
      <c r="L38" s="172" t="s">
        <v>269</v>
      </c>
      <c r="M38" s="172" t="s">
        <v>270</v>
      </c>
      <c r="N38" s="172" t="s">
        <v>271</v>
      </c>
      <c r="O38" s="173" t="s">
        <v>272</v>
      </c>
      <c r="Q38" s="41" t="s">
        <v>538</v>
      </c>
      <c r="R38" s="42" t="s">
        <v>268</v>
      </c>
      <c r="S38" s="42" t="s">
        <v>269</v>
      </c>
      <c r="T38" s="42" t="s">
        <v>270</v>
      </c>
      <c r="U38" s="42" t="s">
        <v>271</v>
      </c>
      <c r="V38" s="43" t="s">
        <v>272</v>
      </c>
    </row>
    <row r="39" spans="1:22">
      <c r="A39" s="153" t="s">
        <v>206</v>
      </c>
      <c r="B39" s="103">
        <f>(B4-$G4)/($H4*SQRT($I4-1))</f>
        <v>-0.29777500019127912</v>
      </c>
      <c r="C39" s="103">
        <f t="shared" ref="C39:F39" si="12">(C4-$G4)/($H4*SQRT($I4-1))</f>
        <v>0.81888125052601735</v>
      </c>
      <c r="D39" s="103">
        <f t="shared" si="12"/>
        <v>0.198516666794186</v>
      </c>
      <c r="E39" s="103">
        <f t="shared" si="12"/>
        <v>-0.6699937504303779</v>
      </c>
      <c r="F39" s="103">
        <f t="shared" si="12"/>
        <v>-4.9629166698546556E-2</v>
      </c>
      <c r="J39" s="174" t="s">
        <v>206</v>
      </c>
      <c r="K39" s="119">
        <v>-0.29777500019127912</v>
      </c>
      <c r="L39" s="120">
        <v>0.81888125052601735</v>
      </c>
      <c r="M39" s="120">
        <v>0.198516666794186</v>
      </c>
      <c r="N39" s="120">
        <v>-0.6699937504303779</v>
      </c>
      <c r="O39" s="121">
        <v>-4.9629166698546556E-2</v>
      </c>
      <c r="Q39" s="174" t="s">
        <v>206</v>
      </c>
      <c r="R39" s="46">
        <v>0.52118404294598275</v>
      </c>
      <c r="S39" s="47">
        <v>0.93524394604598471</v>
      </c>
      <c r="T39" s="47">
        <v>0.76822876709772547</v>
      </c>
      <c r="U39" s="47">
        <v>0.19245008972987526</v>
      </c>
      <c r="V39" s="48">
        <v>0.98375526476183406</v>
      </c>
    </row>
    <row r="40" spans="1:22">
      <c r="A40" s="153" t="s">
        <v>207</v>
      </c>
      <c r="B40" s="103">
        <f t="shared" ref="B40:F40" si="13">(B5-$G5)/($H5*SQRT($I5-1))</f>
        <v>0.57340541880860019</v>
      </c>
      <c r="C40" s="103">
        <f t="shared" si="13"/>
        <v>0.1323243274173693</v>
      </c>
      <c r="D40" s="103">
        <f t="shared" si="13"/>
        <v>0.46313514596079247</v>
      </c>
      <c r="E40" s="103">
        <f t="shared" si="13"/>
        <v>-0.63956758251728474</v>
      </c>
      <c r="F40" s="103">
        <f t="shared" si="13"/>
        <v>-0.52929730966947708</v>
      </c>
      <c r="J40" s="174" t="s">
        <v>207</v>
      </c>
      <c r="K40" s="124">
        <v>0.57340541880860019</v>
      </c>
      <c r="L40" s="125">
        <v>0.1323243274173693</v>
      </c>
      <c r="M40" s="125">
        <v>0.46313514596079247</v>
      </c>
      <c r="N40" s="125">
        <v>-0.63956758251728474</v>
      </c>
      <c r="O40" s="126">
        <v>-0.52929730966947708</v>
      </c>
      <c r="Q40" s="174" t="s">
        <v>207</v>
      </c>
      <c r="R40" s="49">
        <v>0.6309069993556633</v>
      </c>
      <c r="S40" s="50">
        <v>1.9086611143795607E-2</v>
      </c>
      <c r="T40" s="50">
        <v>0.3443784128369114</v>
      </c>
      <c r="U40" s="50">
        <v>-0.70565032900954272</v>
      </c>
      <c r="V40" s="51">
        <v>-0.41254253038399497</v>
      </c>
    </row>
    <row r="41" spans="1:22">
      <c r="A41" s="153" t="s">
        <v>208</v>
      </c>
      <c r="B41" s="103">
        <f t="shared" ref="B41:F41" si="14">(B6-$G6)/($H6*SQRT($I6-1))</f>
        <v>-0.30291962568554082</v>
      </c>
      <c r="C41" s="103">
        <f t="shared" si="14"/>
        <v>-0.30291962568554082</v>
      </c>
      <c r="D41" s="103">
        <f t="shared" si="14"/>
        <v>-0.19473404508356196</v>
      </c>
      <c r="E41" s="103">
        <f t="shared" si="14"/>
        <v>0.99530734153820555</v>
      </c>
      <c r="F41" s="103">
        <f t="shared" si="14"/>
        <v>-0.19473404508356196</v>
      </c>
      <c r="J41" s="174" t="s">
        <v>208</v>
      </c>
      <c r="K41" s="124">
        <v>-0.30291962568554082</v>
      </c>
      <c r="L41" s="125">
        <v>-0.30291962568554082</v>
      </c>
      <c r="M41" s="125">
        <v>-0.19473404508356196</v>
      </c>
      <c r="N41" s="125">
        <v>0.99530734153820555</v>
      </c>
      <c r="O41" s="126">
        <v>-0.19473404508356196</v>
      </c>
      <c r="Q41" s="174" t="s">
        <v>208</v>
      </c>
      <c r="R41" s="49">
        <v>-0.57604552115082308</v>
      </c>
      <c r="S41" s="50">
        <v>-0.51533850088248145</v>
      </c>
      <c r="T41" s="50">
        <v>-0.60928488424992022</v>
      </c>
      <c r="U41" s="50">
        <v>0.83395038882945949</v>
      </c>
      <c r="V41" s="51">
        <v>-0.41254253038399497</v>
      </c>
    </row>
    <row r="42" spans="1:22">
      <c r="A42" s="153" t="s">
        <v>209</v>
      </c>
      <c r="B42" s="103">
        <f t="shared" ref="B42:F42" si="15">(B7-$G7)/($H7*SQRT($I7-1))</f>
        <v>-0.77174363314128969</v>
      </c>
      <c r="C42" s="103">
        <f t="shared" si="15"/>
        <v>-0.34299717028501764</v>
      </c>
      <c r="D42" s="103">
        <f t="shared" si="15"/>
        <v>8.5749292571254396E-2</v>
      </c>
      <c r="E42" s="103">
        <f t="shared" si="15"/>
        <v>0.51449575542752646</v>
      </c>
      <c r="F42" s="103">
        <f t="shared" si="15"/>
        <v>0.51449575542752646</v>
      </c>
      <c r="J42" s="175" t="s">
        <v>209</v>
      </c>
      <c r="K42" s="132">
        <v>-0.77174363314128969</v>
      </c>
      <c r="L42" s="133">
        <v>-0.34299717028501764</v>
      </c>
      <c r="M42" s="133">
        <v>8.5749292571254396E-2</v>
      </c>
      <c r="N42" s="133">
        <v>0.51449575542752646</v>
      </c>
      <c r="O42" s="134">
        <v>0.51449575542752646</v>
      </c>
      <c r="Q42" s="175" t="s">
        <v>209</v>
      </c>
      <c r="R42" s="52">
        <v>-0.57604552115082308</v>
      </c>
      <c r="S42" s="53">
        <v>-0.43899205630729898</v>
      </c>
      <c r="T42" s="53">
        <v>-0.50332229568471665</v>
      </c>
      <c r="U42" s="53">
        <v>-0.32075014954979214</v>
      </c>
      <c r="V42" s="54">
        <v>-0.15867020399384421</v>
      </c>
    </row>
    <row r="43" spans="1:22">
      <c r="A43" s="153"/>
      <c r="B43" s="103"/>
      <c r="C43" s="103"/>
      <c r="D43" s="103"/>
      <c r="E43" s="103"/>
      <c r="F43" s="103"/>
    </row>
    <row r="44" spans="1:22">
      <c r="A44" s="153" t="s">
        <v>266</v>
      </c>
      <c r="B44" s="153" t="s">
        <v>268</v>
      </c>
      <c r="C44" s="153" t="s">
        <v>269</v>
      </c>
      <c r="D44" s="153" t="s">
        <v>270</v>
      </c>
      <c r="E44" s="153" t="s">
        <v>271</v>
      </c>
      <c r="F44" s="153" t="s">
        <v>272</v>
      </c>
      <c r="J44" s="41" t="s">
        <v>539</v>
      </c>
      <c r="K44" s="172" t="s">
        <v>268</v>
      </c>
      <c r="L44" s="172" t="s">
        <v>269</v>
      </c>
      <c r="M44" s="172" t="s">
        <v>270</v>
      </c>
      <c r="N44" s="172" t="s">
        <v>271</v>
      </c>
      <c r="O44" s="173" t="s">
        <v>272</v>
      </c>
      <c r="Q44" s="41" t="s">
        <v>536</v>
      </c>
      <c r="R44" s="42" t="s">
        <v>268</v>
      </c>
      <c r="S44" s="42" t="s">
        <v>269</v>
      </c>
      <c r="T44" s="42" t="s">
        <v>270</v>
      </c>
      <c r="U44" s="42" t="s">
        <v>271</v>
      </c>
      <c r="V44" s="43" t="s">
        <v>272</v>
      </c>
    </row>
    <row r="45" spans="1:22">
      <c r="A45" s="153" t="s">
        <v>206</v>
      </c>
      <c r="B45" s="103">
        <f t="shared" ref="B45" si="16">(B4-B$8)/(B$9*SQRT(B$10-1))</f>
        <v>0.52118404294598275</v>
      </c>
      <c r="C45" s="103">
        <f>(C4-C$8)/(C$9*SQRT(C$10-1))</f>
        <v>0.93524394604598482</v>
      </c>
      <c r="D45" s="103">
        <f t="shared" ref="D45:F45" si="17">(D4-D$8)/(D$9*SQRT(D$10-1))</f>
        <v>0.76822876709772547</v>
      </c>
      <c r="E45" s="103">
        <f t="shared" si="17"/>
        <v>0.19245008972987526</v>
      </c>
      <c r="F45" s="103">
        <f t="shared" si="17"/>
        <v>0.98375526476183417</v>
      </c>
      <c r="J45" s="174" t="s">
        <v>206</v>
      </c>
      <c r="K45" s="119">
        <v>0.13683762066551997</v>
      </c>
      <c r="L45" s="120">
        <v>0.89091749961109723</v>
      </c>
      <c r="M45" s="120">
        <v>0.5057989791251396</v>
      </c>
      <c r="N45" s="120">
        <v>-0.24599461932485114</v>
      </c>
      <c r="O45" s="121">
        <v>0.46116917000499569</v>
      </c>
      <c r="Q45" s="44" t="s">
        <v>206</v>
      </c>
      <c r="R45" s="46">
        <v>0.1743607859708568</v>
      </c>
      <c r="S45" s="47">
        <v>0.53930196590985946</v>
      </c>
      <c r="T45" s="47">
        <v>0.3365568659437469</v>
      </c>
      <c r="U45" s="47">
        <v>5.2713725991189259E-2</v>
      </c>
      <c r="V45" s="48">
        <v>0.25545882595730185</v>
      </c>
    </row>
    <row r="46" spans="1:22">
      <c r="A46" s="153" t="s">
        <v>207</v>
      </c>
      <c r="B46" s="103">
        <f t="shared" ref="B46:F46" si="18">(B5-B$8)/(B$9*SQRT(B$10-1))</f>
        <v>0.6309069993556633</v>
      </c>
      <c r="C46" s="103">
        <f t="shared" si="18"/>
        <v>1.9086611143795611E-2</v>
      </c>
      <c r="D46" s="103">
        <f t="shared" si="18"/>
        <v>0.3443784128369114</v>
      </c>
      <c r="E46" s="103">
        <f t="shared" si="18"/>
        <v>-0.70565032900954261</v>
      </c>
      <c r="F46" s="103">
        <f t="shared" si="18"/>
        <v>-0.41254253038399497</v>
      </c>
      <c r="J46" s="174" t="s">
        <v>207</v>
      </c>
      <c r="K46" s="124">
        <v>0.60222773755679859</v>
      </c>
      <c r="L46" s="125">
        <v>6.5413098656192326E-2</v>
      </c>
      <c r="M46" s="125">
        <v>0.40257387290307634</v>
      </c>
      <c r="N46" s="125">
        <v>-0.67011187695972452</v>
      </c>
      <c r="O46" s="126">
        <v>-0.47502145787189703</v>
      </c>
      <c r="Q46" s="44" t="s">
        <v>207</v>
      </c>
      <c r="R46" s="49">
        <v>0.21490980596407933</v>
      </c>
      <c r="S46" s="50">
        <v>5.2713725991189259E-2</v>
      </c>
      <c r="T46" s="50">
        <v>0.1743607859708568</v>
      </c>
      <c r="U46" s="50">
        <v>-0.23112941396136832</v>
      </c>
      <c r="V46" s="51">
        <v>-0.19058039396814583</v>
      </c>
    </row>
    <row r="47" spans="1:22">
      <c r="A47" s="153" t="s">
        <v>208</v>
      </c>
      <c r="B47" s="103">
        <f t="shared" ref="B47:F47" si="19">(B6-B$8)/(B$9*SQRT(B$10-1))</f>
        <v>-0.57604552115082308</v>
      </c>
      <c r="C47" s="103">
        <f t="shared" si="19"/>
        <v>-0.51533850088248145</v>
      </c>
      <c r="D47" s="103">
        <f t="shared" si="19"/>
        <v>-0.60928488424992022</v>
      </c>
      <c r="E47" s="103">
        <f t="shared" si="19"/>
        <v>0.83395038882945949</v>
      </c>
      <c r="F47" s="103">
        <f t="shared" si="19"/>
        <v>-0.41254253038399497</v>
      </c>
      <c r="J47" s="174" t="s">
        <v>208</v>
      </c>
      <c r="K47" s="124">
        <v>-0.43851910234471336</v>
      </c>
      <c r="L47" s="125">
        <v>-0.42745442836782627</v>
      </c>
      <c r="M47" s="125">
        <v>-0.40416111326100457</v>
      </c>
      <c r="N47" s="125">
        <v>0.92149103885775963</v>
      </c>
      <c r="O47" s="126">
        <v>-0.29495334875886986</v>
      </c>
      <c r="Q47" s="44" t="s">
        <v>208</v>
      </c>
      <c r="R47" s="49">
        <v>-0.23112941396136832</v>
      </c>
      <c r="S47" s="50">
        <v>-0.23112941396136832</v>
      </c>
      <c r="T47" s="50">
        <v>-0.19058039396814583</v>
      </c>
      <c r="U47" s="50">
        <v>0.25545882595730185</v>
      </c>
      <c r="V47" s="51">
        <v>-0.19058039396814583</v>
      </c>
    </row>
    <row r="48" spans="1:22">
      <c r="A48" s="153" t="s">
        <v>209</v>
      </c>
      <c r="B48" s="103">
        <f t="shared" ref="B48:F48" si="20">(B7-B$8)/(B$9*SQRT(B$10-1))</f>
        <v>-0.57604552115082308</v>
      </c>
      <c r="C48" s="103">
        <f t="shared" si="20"/>
        <v>-0.43899205630729898</v>
      </c>
      <c r="D48" s="103">
        <f t="shared" si="20"/>
        <v>-0.50332229568471665</v>
      </c>
      <c r="E48" s="103">
        <f t="shared" si="20"/>
        <v>-0.32075014954979214</v>
      </c>
      <c r="F48" s="103">
        <f t="shared" si="20"/>
        <v>-0.15867020399384421</v>
      </c>
      <c r="J48" s="175" t="s">
        <v>209</v>
      </c>
      <c r="K48" s="132">
        <v>-0.61592257756873148</v>
      </c>
      <c r="L48" s="133">
        <v>-0.42448211538876485</v>
      </c>
      <c r="M48" s="133">
        <v>-0.38658675478470439</v>
      </c>
      <c r="N48" s="133">
        <v>-0.12837465628201727</v>
      </c>
      <c r="O48" s="134">
        <v>-4.8969887150481046E-3</v>
      </c>
      <c r="Q48" s="45" t="s">
        <v>209</v>
      </c>
      <c r="R48" s="52">
        <v>-0.23112941396136832</v>
      </c>
      <c r="S48" s="53">
        <v>-0.19058039396814583</v>
      </c>
      <c r="T48" s="53">
        <v>-0.1500313739749233</v>
      </c>
      <c r="U48" s="53">
        <v>-0.10948235398170079</v>
      </c>
      <c r="V48" s="54">
        <v>-0.10948235398170079</v>
      </c>
    </row>
    <row r="49" spans="1:6">
      <c r="A49" s="153"/>
      <c r="B49" s="103"/>
      <c r="C49" s="103"/>
      <c r="D49" s="103"/>
      <c r="E49" s="103"/>
      <c r="F49" s="103"/>
    </row>
    <row r="50" spans="1:6">
      <c r="A50" s="153" t="s">
        <v>252</v>
      </c>
      <c r="B50" s="153" t="s">
        <v>268</v>
      </c>
      <c r="C50" s="153" t="s">
        <v>269</v>
      </c>
      <c r="D50" s="153" t="s">
        <v>270</v>
      </c>
      <c r="E50" s="153" t="s">
        <v>271</v>
      </c>
      <c r="F50" s="153" t="s">
        <v>272</v>
      </c>
    </row>
    <row r="51" spans="1:6">
      <c r="A51" s="153" t="s">
        <v>206</v>
      </c>
      <c r="B51" s="103">
        <f t="shared" ref="B51" si="21">((B4-$G4)+(B4-B$8))/($H4*SQRT($I4-1)+B$9*SQRT(B$10-1))</f>
        <v>0.13683762066551997</v>
      </c>
      <c r="C51" s="103">
        <f>((C4-$G4)+(C4-C$8))/($H4*SQRT($I4-1)+C$9*SQRT(C$10-1))</f>
        <v>0.89091749961109723</v>
      </c>
      <c r="D51" s="103">
        <f t="shared" ref="D51:F51" si="22">((D4-$G4)+(D4-D$8))/($H4*SQRT($I4-1)+D$9*SQRT(D$10-1))</f>
        <v>0.5057989791251396</v>
      </c>
      <c r="E51" s="103">
        <f t="shared" si="22"/>
        <v>-0.24599461932485114</v>
      </c>
      <c r="F51" s="103">
        <f t="shared" si="22"/>
        <v>0.46116917000499569</v>
      </c>
    </row>
    <row r="52" spans="1:6">
      <c r="A52" s="153" t="s">
        <v>207</v>
      </c>
      <c r="B52" s="103">
        <f t="shared" ref="B52:F52" si="23">((B5-$G5)+(B5-B$8))/($H5*SQRT($I5-1)+B$9*SQRT(B$10-1))</f>
        <v>0.60222773755679859</v>
      </c>
      <c r="C52" s="103">
        <f t="shared" si="23"/>
        <v>6.5413098656192367E-2</v>
      </c>
      <c r="D52" s="103">
        <f t="shared" si="23"/>
        <v>0.40257387290307639</v>
      </c>
      <c r="E52" s="103">
        <f t="shared" si="23"/>
        <v>-0.67011187695972452</v>
      </c>
      <c r="F52" s="103">
        <f t="shared" si="23"/>
        <v>-0.47502145787189703</v>
      </c>
    </row>
    <row r="53" spans="1:6">
      <c r="A53" s="153" t="s">
        <v>208</v>
      </c>
      <c r="B53" s="103">
        <f t="shared" ref="B53:F53" si="24">((B6-$G6)+(B6-B$8))/($H6*SQRT($I6-1)+B$9*SQRT(B$10-1))</f>
        <v>-0.43851910234471336</v>
      </c>
      <c r="C53" s="103">
        <f t="shared" si="24"/>
        <v>-0.42745442836782627</v>
      </c>
      <c r="D53" s="103">
        <f t="shared" si="24"/>
        <v>-0.40416111326100457</v>
      </c>
      <c r="E53" s="103">
        <f t="shared" si="24"/>
        <v>0.92149103885775963</v>
      </c>
      <c r="F53" s="103">
        <f t="shared" si="24"/>
        <v>-0.29495334875886986</v>
      </c>
    </row>
    <row r="54" spans="1:6">
      <c r="A54" s="153" t="s">
        <v>209</v>
      </c>
      <c r="B54" s="103">
        <f t="shared" ref="B54:F54" si="25">((B7-$G7)+(B7-B$8))/($H7*SQRT($I7-1)+B$9*SQRT(B$10-1))</f>
        <v>-0.61592257756873148</v>
      </c>
      <c r="C54" s="103">
        <f t="shared" si="25"/>
        <v>-0.42448211538876485</v>
      </c>
      <c r="D54" s="103">
        <f t="shared" si="25"/>
        <v>-0.38658675478470439</v>
      </c>
      <c r="E54" s="103">
        <f t="shared" si="25"/>
        <v>-0.12837465628201727</v>
      </c>
      <c r="F54" s="103">
        <f t="shared" si="25"/>
        <v>-4.8969887150481263E-3</v>
      </c>
    </row>
    <row r="55" spans="1:6">
      <c r="A55" s="153"/>
      <c r="B55" s="103"/>
      <c r="C55" s="103"/>
      <c r="D55" s="103"/>
      <c r="E55" s="103"/>
      <c r="F55" s="103"/>
    </row>
    <row r="56" spans="1:6">
      <c r="A56" s="153" t="s">
        <v>244</v>
      </c>
      <c r="B56" s="153" t="s">
        <v>268</v>
      </c>
      <c r="C56" s="153" t="s">
        <v>269</v>
      </c>
      <c r="D56" s="153" t="s">
        <v>270</v>
      </c>
      <c r="E56" s="153" t="s">
        <v>271</v>
      </c>
      <c r="F56" s="153" t="s">
        <v>272</v>
      </c>
    </row>
    <row r="57" spans="1:6">
      <c r="A57" s="153" t="s">
        <v>206</v>
      </c>
      <c r="B57" s="103">
        <f>(B4-$G$8)/($H$9*SQRT($I$10-1))</f>
        <v>0.17436078597085683</v>
      </c>
      <c r="C57" s="103">
        <f t="shared" ref="C57:F57" si="26">(C4-$G$8)/($H$9*SQRT($I$10-1))</f>
        <v>0.53930196590985957</v>
      </c>
      <c r="D57" s="103">
        <f t="shared" si="26"/>
        <v>0.33655686594374695</v>
      </c>
      <c r="E57" s="103">
        <f t="shared" si="26"/>
        <v>5.2713725991189272E-2</v>
      </c>
      <c r="F57" s="103">
        <f t="shared" si="26"/>
        <v>0.2554588259573019</v>
      </c>
    </row>
    <row r="58" spans="1:6">
      <c r="A58" s="153" t="s">
        <v>207</v>
      </c>
      <c r="B58" s="103">
        <f t="shared" ref="B58:F58" si="27">(B5-$G$8)/($H$9*SQRT($I$10-1))</f>
        <v>0.21490980596407935</v>
      </c>
      <c r="C58" s="103">
        <f t="shared" si="27"/>
        <v>5.2713725991189272E-2</v>
      </c>
      <c r="D58" s="103">
        <f t="shared" si="27"/>
        <v>0.17436078597085683</v>
      </c>
      <c r="E58" s="103">
        <f t="shared" si="27"/>
        <v>-0.23112941396136838</v>
      </c>
      <c r="F58" s="103">
        <f t="shared" si="27"/>
        <v>-0.19058039396814586</v>
      </c>
    </row>
    <row r="59" spans="1:6">
      <c r="A59" s="153" t="s">
        <v>208</v>
      </c>
      <c r="B59" s="103">
        <f t="shared" ref="B59:F59" si="28">(B6-$G$8)/($H$9*SQRT($I$10-1))</f>
        <v>-0.23112941396136838</v>
      </c>
      <c r="C59" s="103">
        <f t="shared" si="28"/>
        <v>-0.23112941396136838</v>
      </c>
      <c r="D59" s="103">
        <f t="shared" si="28"/>
        <v>-0.19058039396814586</v>
      </c>
      <c r="E59" s="103">
        <f t="shared" si="28"/>
        <v>0.2554588259573019</v>
      </c>
      <c r="F59" s="103">
        <f t="shared" si="28"/>
        <v>-0.19058039396814586</v>
      </c>
    </row>
    <row r="60" spans="1:6">
      <c r="A60" s="153" t="s">
        <v>209</v>
      </c>
      <c r="B60" s="103">
        <f t="shared" ref="B60:F60" si="29">(B7-$G$8)/($H$9*SQRT($I$10-1))</f>
        <v>-0.23112941396136838</v>
      </c>
      <c r="C60" s="103">
        <f t="shared" si="29"/>
        <v>-0.19058039396814586</v>
      </c>
      <c r="D60" s="103">
        <f t="shared" si="29"/>
        <v>-0.15003137397492333</v>
      </c>
      <c r="E60" s="103">
        <f t="shared" si="29"/>
        <v>-0.10948235398170082</v>
      </c>
      <c r="F60" s="103">
        <f t="shared" si="29"/>
        <v>-0.10948235398170082</v>
      </c>
    </row>
  </sheetData>
  <phoneticPr fontId="2"/>
  <conditionalFormatting sqref="J4:O10 B11:O12 B18:O18 B13:I17 B24:O24 B19:I23 B36:O36 B25:I35">
    <cfRule type="dataBar" priority="201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{B2C2E21D-D94A-47B5-AB69-150DB89F4DFB}</x14:id>
        </ext>
      </extLst>
    </cfRule>
  </conditionalFormatting>
  <conditionalFormatting sqref="J4:O10 B11:O12 B18:O18 B13:I17 B24:O24 B19:I23 B36:O36 B25:I35">
    <cfRule type="dataBar" priority="202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{4D64155A-FE51-473C-9595-0A6813D26530}</x14:id>
        </ext>
      </extLst>
    </cfRule>
  </conditionalFormatting>
  <conditionalFormatting sqref="B4:F7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{524735E1-C3FB-4733-8AF2-EF32AFA66470}</x14:id>
        </ext>
      </extLst>
    </cfRule>
  </conditionalFormatting>
  <conditionalFormatting sqref="B4:F7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{CCF34A27-F9DF-4B53-AAC8-8C3B28B84B0A}</x14:id>
        </ext>
      </extLst>
    </cfRule>
  </conditionalFormatting>
  <conditionalFormatting sqref="A38:F60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{2F79C92D-3F9B-4488-85DB-8A1353831B1E}</x14:id>
        </ext>
      </extLst>
    </cfRule>
  </conditionalFormatting>
  <conditionalFormatting sqref="A38:F60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{B6262C5A-FC19-4E46-85B1-A91C9BF735C4}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C2E21D-D94A-47B5-AB69-150DB89F4DF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J4:O10 B11:O12 B18:O18 B13:I17 B24:O24 B19:I23 B36:O36 B25:I35</xm:sqref>
        </x14:conditionalFormatting>
        <x14:conditionalFormatting xmlns:xm="http://schemas.microsoft.com/office/excel/2006/main">
          <x14:cfRule type="dataBar" id="{4D64155A-FE51-473C-9595-0A6813D265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J4:O10 B11:O12 B18:O18 B13:I17 B24:O24 B19:I23 B36:O36 B25:I35</xm:sqref>
        </x14:conditionalFormatting>
        <x14:conditionalFormatting xmlns:xm="http://schemas.microsoft.com/office/excel/2006/main">
          <x14:cfRule type="dataBar" id="{524735E1-C3FB-4733-8AF2-EF32AFA6647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CCF34A27-F9DF-4B53-AAC8-8C3B28B84B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B4:F7</xm:sqref>
        </x14:conditionalFormatting>
        <x14:conditionalFormatting xmlns:xm="http://schemas.microsoft.com/office/excel/2006/main">
          <x14:cfRule type="dataBar" id="{2F79C92D-3F9B-4488-85DB-8A1353831B1E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A38:F60</xm:sqref>
        </x14:conditionalFormatting>
        <x14:conditionalFormatting xmlns:xm="http://schemas.microsoft.com/office/excel/2006/main">
          <x14:cfRule type="dataBar" id="{B6262C5A-FC19-4E46-85B1-A91C9BF735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A38:F60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67"/>
  <sheetViews>
    <sheetView topLeftCell="A16" workbookViewId="0">
      <selection activeCell="Q47" sqref="Q47"/>
    </sheetView>
  </sheetViews>
  <sheetFormatPr defaultRowHeight="15.75"/>
  <cols>
    <col min="1" max="1" width="16.125" style="85" bestFit="1" customWidth="1"/>
    <col min="2" max="6" width="6.5" style="29" bestFit="1" customWidth="1"/>
    <col min="7" max="7" width="8.25" style="29" customWidth="1"/>
    <col min="8" max="8" width="3.875" style="83" customWidth="1"/>
    <col min="9" max="9" width="9.125" style="249" bestFit="1" customWidth="1"/>
    <col min="10" max="13" width="6" style="249" bestFit="1" customWidth="1"/>
    <col min="14" max="14" width="5.25" style="249" bestFit="1" customWidth="1"/>
    <col min="15" max="15" width="1.875" style="83" customWidth="1"/>
    <col min="16" max="16" width="8.375" bestFit="1" customWidth="1"/>
    <col min="17" max="21" width="5.5" bestFit="1" customWidth="1"/>
  </cols>
  <sheetData>
    <row r="1" spans="1:5">
      <c r="A1" s="139" t="s">
        <v>436</v>
      </c>
      <c r="B1" s="39"/>
      <c r="C1" s="39"/>
      <c r="D1" s="39"/>
      <c r="E1" s="39"/>
    </row>
    <row r="3" spans="1:5">
      <c r="A3" s="87" t="s">
        <v>437</v>
      </c>
      <c r="B3" s="29" t="s">
        <v>268</v>
      </c>
      <c r="C3" s="29" t="s">
        <v>269</v>
      </c>
      <c r="D3" s="29" t="s">
        <v>270</v>
      </c>
      <c r="E3" s="147" t="s">
        <v>438</v>
      </c>
    </row>
    <row r="4" spans="1:5" ht="30" customHeight="1">
      <c r="A4" s="87" t="s">
        <v>206</v>
      </c>
      <c r="B4" s="24">
        <v>19</v>
      </c>
      <c r="C4" s="24">
        <v>8</v>
      </c>
      <c r="D4" s="24">
        <v>6</v>
      </c>
      <c r="E4" s="181">
        <f>SUM(B4:D4)</f>
        <v>33</v>
      </c>
    </row>
    <row r="5" spans="1:5" ht="30" customHeight="1">
      <c r="A5" s="87" t="s">
        <v>207</v>
      </c>
      <c r="B5" s="24">
        <v>25</v>
      </c>
      <c r="C5" s="24">
        <v>0</v>
      </c>
      <c r="D5" s="24">
        <v>1</v>
      </c>
      <c r="E5" s="181">
        <f>SUM(B5:D5)</f>
        <v>26</v>
      </c>
    </row>
    <row r="6" spans="1:5">
      <c r="A6" s="140" t="s">
        <v>438</v>
      </c>
      <c r="B6" s="181">
        <f>SUM(B4:B5)</f>
        <v>44</v>
      </c>
      <c r="C6" s="181">
        <f>SUM(C4:C5)</f>
        <v>8</v>
      </c>
      <c r="D6" s="181">
        <f>SUM(D4:D5)</f>
        <v>7</v>
      </c>
      <c r="E6" s="181">
        <f>SUM(B6:D6)</f>
        <v>59</v>
      </c>
    </row>
    <row r="7" spans="1:5">
      <c r="A7" s="140"/>
      <c r="B7" s="181"/>
      <c r="C7" s="181"/>
      <c r="D7" s="181"/>
      <c r="E7" s="181"/>
    </row>
    <row r="8" spans="1:5">
      <c r="A8" s="157" t="s">
        <v>439</v>
      </c>
      <c r="B8" s="29" t="s">
        <v>268</v>
      </c>
      <c r="C8" s="29" t="s">
        <v>269</v>
      </c>
      <c r="D8" s="29" t="s">
        <v>270</v>
      </c>
      <c r="E8" s="31"/>
    </row>
    <row r="9" spans="1:5">
      <c r="A9" s="104" t="s">
        <v>206</v>
      </c>
      <c r="B9" s="105">
        <f t="shared" ref="B9:D10" si="0">$E4*B$6/$E$6</f>
        <v>24.610169491525422</v>
      </c>
      <c r="C9" s="105">
        <f t="shared" si="0"/>
        <v>4.4745762711864403</v>
      </c>
      <c r="D9" s="105">
        <f t="shared" si="0"/>
        <v>3.9152542372881354</v>
      </c>
      <c r="E9" s="182"/>
    </row>
    <row r="10" spans="1:5">
      <c r="A10" s="104" t="s">
        <v>207</v>
      </c>
      <c r="B10" s="105">
        <f t="shared" si="0"/>
        <v>19.389830508474578</v>
      </c>
      <c r="C10" s="105">
        <f t="shared" si="0"/>
        <v>3.5254237288135593</v>
      </c>
      <c r="D10" s="105">
        <f t="shared" si="0"/>
        <v>3.0847457627118646</v>
      </c>
    </row>
    <row r="11" spans="1:5">
      <c r="B11" s="183"/>
      <c r="C11" s="183"/>
      <c r="D11" s="183"/>
    </row>
    <row r="12" spans="1:5">
      <c r="A12" s="157" t="s">
        <v>440</v>
      </c>
      <c r="B12" s="184" t="s">
        <v>268</v>
      </c>
      <c r="C12" s="184" t="s">
        <v>269</v>
      </c>
      <c r="D12" s="184" t="s">
        <v>270</v>
      </c>
    </row>
    <row r="13" spans="1:5">
      <c r="A13" s="104" t="s">
        <v>206</v>
      </c>
      <c r="B13" s="105">
        <f t="shared" ref="B13:D14" si="1" xml:space="preserve"> ($E4*B$6)/($E4+B$6-B4)</f>
        <v>25.03448275862069</v>
      </c>
      <c r="C13" s="105">
        <f t="shared" si="1"/>
        <v>8</v>
      </c>
      <c r="D13" s="105">
        <f t="shared" si="1"/>
        <v>6.7941176470588234</v>
      </c>
    </row>
    <row r="14" spans="1:5">
      <c r="A14" s="104" t="s">
        <v>207</v>
      </c>
      <c r="B14" s="105">
        <f t="shared" si="1"/>
        <v>25.422222222222221</v>
      </c>
      <c r="C14" s="105">
        <f t="shared" si="1"/>
        <v>6.117647058823529</v>
      </c>
      <c r="D14" s="105">
        <f t="shared" si="1"/>
        <v>5.6875</v>
      </c>
    </row>
    <row r="17" spans="1:15" s="32" customFormat="1">
      <c r="A17" s="139" t="s">
        <v>441</v>
      </c>
      <c r="B17" s="39"/>
      <c r="C17" s="39"/>
      <c r="D17" s="39"/>
      <c r="E17" s="39"/>
      <c r="F17" s="39"/>
      <c r="G17" s="39"/>
      <c r="H17" s="185"/>
      <c r="I17" s="250"/>
      <c r="J17" s="250"/>
      <c r="K17" s="250"/>
      <c r="L17" s="250"/>
      <c r="M17" s="250"/>
      <c r="N17" s="250"/>
      <c r="O17" s="185"/>
    </row>
    <row r="19" spans="1:15" s="34" customFormat="1">
      <c r="A19" s="84" t="s">
        <v>335</v>
      </c>
      <c r="B19" s="85" t="s">
        <v>268</v>
      </c>
      <c r="C19" s="85" t="s">
        <v>269</v>
      </c>
      <c r="D19" s="85" t="s">
        <v>270</v>
      </c>
      <c r="E19" s="85" t="s">
        <v>271</v>
      </c>
      <c r="F19" s="85" t="s">
        <v>272</v>
      </c>
      <c r="G19" s="35" t="s">
        <v>235</v>
      </c>
      <c r="H19" s="141"/>
      <c r="I19" s="248"/>
      <c r="J19" s="248"/>
      <c r="K19" s="248"/>
      <c r="L19" s="248"/>
      <c r="M19" s="248"/>
      <c r="N19" s="248"/>
      <c r="O19" s="141"/>
    </row>
    <row r="20" spans="1:15">
      <c r="A20" s="87" t="s">
        <v>206</v>
      </c>
      <c r="B20" s="88">
        <v>10</v>
      </c>
      <c r="C20" s="89">
        <v>19</v>
      </c>
      <c r="D20" s="89">
        <v>14</v>
      </c>
      <c r="E20" s="89">
        <v>7</v>
      </c>
      <c r="F20" s="90">
        <v>12</v>
      </c>
      <c r="G20" s="91">
        <f>SUM(B20:F20)</f>
        <v>62</v>
      </c>
    </row>
    <row r="21" spans="1:15">
      <c r="A21" s="87" t="s">
        <v>207</v>
      </c>
      <c r="B21" s="92">
        <v>11</v>
      </c>
      <c r="C21" s="93">
        <v>7</v>
      </c>
      <c r="D21" s="93">
        <v>10</v>
      </c>
      <c r="E21" s="93">
        <v>0</v>
      </c>
      <c r="F21" s="94">
        <v>1</v>
      </c>
      <c r="G21" s="91">
        <f>SUM(B21:F21)</f>
        <v>29</v>
      </c>
    </row>
    <row r="22" spans="1:15">
      <c r="A22" s="87" t="s">
        <v>208</v>
      </c>
      <c r="B22" s="92">
        <v>0</v>
      </c>
      <c r="C22" s="93">
        <v>0</v>
      </c>
      <c r="D22" s="93">
        <v>1</v>
      </c>
      <c r="E22" s="93">
        <v>12</v>
      </c>
      <c r="F22" s="94">
        <v>1</v>
      </c>
      <c r="G22" s="91">
        <f>SUM(B22:F22)</f>
        <v>14</v>
      </c>
    </row>
    <row r="23" spans="1:15">
      <c r="A23" s="87" t="s">
        <v>209</v>
      </c>
      <c r="B23" s="95">
        <v>0</v>
      </c>
      <c r="C23" s="96">
        <v>1</v>
      </c>
      <c r="D23" s="96">
        <v>2</v>
      </c>
      <c r="E23" s="96">
        <v>3</v>
      </c>
      <c r="F23" s="97">
        <v>3</v>
      </c>
      <c r="G23" s="91">
        <f>SUM(B23:F23)</f>
        <v>9</v>
      </c>
    </row>
    <row r="24" spans="1:15">
      <c r="A24" s="140" t="s">
        <v>442</v>
      </c>
      <c r="B24" s="30">
        <f>SUM(B20:B23)</f>
        <v>21</v>
      </c>
      <c r="C24" s="30">
        <f>SUM(C20:C23)</f>
        <v>27</v>
      </c>
      <c r="D24" s="30">
        <f>SUM(D20:D23)</f>
        <v>27</v>
      </c>
      <c r="E24" s="30">
        <f>SUM(E20:E23)</f>
        <v>22</v>
      </c>
      <c r="F24" s="30">
        <f>SUM(F20:F23)</f>
        <v>17</v>
      </c>
      <c r="G24" s="98">
        <f>SUM(B20:F23)</f>
        <v>114</v>
      </c>
    </row>
    <row r="25" spans="1:15">
      <c r="G25" s="31"/>
    </row>
    <row r="26" spans="1:15" s="34" customFormat="1">
      <c r="A26" s="139" t="s">
        <v>443</v>
      </c>
      <c r="B26" s="85" t="s">
        <v>268</v>
      </c>
      <c r="C26" s="85" t="s">
        <v>269</v>
      </c>
      <c r="D26" s="85" t="s">
        <v>270</v>
      </c>
      <c r="E26" s="85" t="s">
        <v>271</v>
      </c>
      <c r="F26" s="85" t="s">
        <v>272</v>
      </c>
      <c r="G26" s="104"/>
      <c r="H26" s="141"/>
      <c r="I26" s="224" t="s">
        <v>544</v>
      </c>
      <c r="J26" s="225" t="s">
        <v>268</v>
      </c>
      <c r="K26" s="225" t="s">
        <v>269</v>
      </c>
      <c r="L26" s="225" t="s">
        <v>270</v>
      </c>
      <c r="M26" s="225" t="s">
        <v>271</v>
      </c>
      <c r="N26" s="226" t="s">
        <v>272</v>
      </c>
      <c r="O26" s="141"/>
    </row>
    <row r="27" spans="1:15">
      <c r="A27" s="104" t="s">
        <v>206</v>
      </c>
      <c r="B27" s="103">
        <f t="shared" ref="B27:F30" si="2">$G20*B$24/$G$24</f>
        <v>11.421052631578947</v>
      </c>
      <c r="C27" s="103">
        <f t="shared" si="2"/>
        <v>14.684210526315789</v>
      </c>
      <c r="D27" s="103">
        <f t="shared" si="2"/>
        <v>14.684210526315789</v>
      </c>
      <c r="E27" s="103">
        <f t="shared" si="2"/>
        <v>11.964912280701755</v>
      </c>
      <c r="F27" s="103">
        <f t="shared" si="2"/>
        <v>9.2456140350877192</v>
      </c>
      <c r="G27" s="103"/>
      <c r="I27" s="228" t="s">
        <v>206</v>
      </c>
      <c r="J27" s="46">
        <v>11.421052631578947</v>
      </c>
      <c r="K27" s="47">
        <v>14.684210526315789</v>
      </c>
      <c r="L27" s="47">
        <v>14.684210526315789</v>
      </c>
      <c r="M27" s="47">
        <v>11.964912280701755</v>
      </c>
      <c r="N27" s="48">
        <v>9.2456140350877192</v>
      </c>
    </row>
    <row r="28" spans="1:15">
      <c r="A28" s="104" t="s">
        <v>207</v>
      </c>
      <c r="B28" s="103">
        <f t="shared" si="2"/>
        <v>5.3421052631578947</v>
      </c>
      <c r="C28" s="103">
        <f t="shared" si="2"/>
        <v>6.8684210526315788</v>
      </c>
      <c r="D28" s="103">
        <f t="shared" si="2"/>
        <v>6.8684210526315788</v>
      </c>
      <c r="E28" s="103">
        <f t="shared" si="2"/>
        <v>5.5964912280701755</v>
      </c>
      <c r="F28" s="103">
        <f t="shared" si="2"/>
        <v>4.3245614035087723</v>
      </c>
      <c r="G28" s="103"/>
      <c r="I28" s="228" t="s">
        <v>207</v>
      </c>
      <c r="J28" s="49">
        <v>5.3421052631578947</v>
      </c>
      <c r="K28" s="50">
        <v>6.8684210526315788</v>
      </c>
      <c r="L28" s="50">
        <v>6.8684210526315788</v>
      </c>
      <c r="M28" s="50">
        <v>5.5964912280701755</v>
      </c>
      <c r="N28" s="51">
        <v>4.3245614035087723</v>
      </c>
    </row>
    <row r="29" spans="1:15">
      <c r="A29" s="104" t="s">
        <v>208</v>
      </c>
      <c r="B29" s="103">
        <f t="shared" si="2"/>
        <v>2.5789473684210527</v>
      </c>
      <c r="C29" s="103">
        <f t="shared" si="2"/>
        <v>3.3157894736842106</v>
      </c>
      <c r="D29" s="103">
        <f t="shared" si="2"/>
        <v>3.3157894736842106</v>
      </c>
      <c r="E29" s="103">
        <f t="shared" si="2"/>
        <v>2.7017543859649122</v>
      </c>
      <c r="F29" s="103">
        <f t="shared" si="2"/>
        <v>2.0877192982456139</v>
      </c>
      <c r="G29" s="103"/>
      <c r="I29" s="228" t="s">
        <v>208</v>
      </c>
      <c r="J29" s="49">
        <v>2.5789473684210527</v>
      </c>
      <c r="K29" s="50">
        <v>3.3157894736842106</v>
      </c>
      <c r="L29" s="50">
        <v>3.3157894736842106</v>
      </c>
      <c r="M29" s="50">
        <v>2.7017543859649122</v>
      </c>
      <c r="N29" s="51">
        <v>2.0877192982456139</v>
      </c>
    </row>
    <row r="30" spans="1:15">
      <c r="A30" s="104" t="s">
        <v>209</v>
      </c>
      <c r="B30" s="103">
        <f t="shared" si="2"/>
        <v>1.6578947368421053</v>
      </c>
      <c r="C30" s="103">
        <f t="shared" si="2"/>
        <v>2.1315789473684212</v>
      </c>
      <c r="D30" s="103">
        <f t="shared" si="2"/>
        <v>2.1315789473684212</v>
      </c>
      <c r="E30" s="103">
        <f t="shared" si="2"/>
        <v>1.736842105263158</v>
      </c>
      <c r="F30" s="103">
        <f t="shared" si="2"/>
        <v>1.3421052631578947</v>
      </c>
      <c r="G30" s="103"/>
      <c r="I30" s="230" t="s">
        <v>209</v>
      </c>
      <c r="J30" s="52">
        <v>1.6578947368421053</v>
      </c>
      <c r="K30" s="53">
        <v>2.1315789473684212</v>
      </c>
      <c r="L30" s="53">
        <v>2.1315789473684212</v>
      </c>
      <c r="M30" s="53">
        <v>1.736842105263158</v>
      </c>
      <c r="N30" s="54">
        <v>1.3421052631578947</v>
      </c>
    </row>
    <row r="31" spans="1:15">
      <c r="A31" s="104"/>
      <c r="B31" s="103"/>
      <c r="C31" s="103"/>
      <c r="D31" s="103"/>
      <c r="E31" s="103"/>
      <c r="F31" s="103"/>
      <c r="G31" s="103"/>
    </row>
    <row r="32" spans="1:15">
      <c r="A32" s="102" t="s">
        <v>219</v>
      </c>
      <c r="B32" s="153" t="s">
        <v>268</v>
      </c>
      <c r="C32" s="153" t="s">
        <v>269</v>
      </c>
      <c r="D32" s="153" t="s">
        <v>270</v>
      </c>
      <c r="E32" s="153" t="s">
        <v>271</v>
      </c>
      <c r="F32" s="153" t="s">
        <v>272</v>
      </c>
      <c r="G32" s="153"/>
      <c r="H32" s="141"/>
      <c r="I32" s="248"/>
      <c r="J32" s="248"/>
      <c r="K32" s="248"/>
      <c r="L32" s="248"/>
      <c r="M32" s="248"/>
      <c r="N32" s="248"/>
    </row>
    <row r="33" spans="1:21">
      <c r="A33" s="104" t="s">
        <v>220</v>
      </c>
      <c r="B33" s="103">
        <f t="shared" ref="B33:F36" si="3" xml:space="preserve"> ($G20*B$24)/($G20+B$24-B20)</f>
        <v>17.835616438356166</v>
      </c>
      <c r="C33" s="103">
        <f t="shared" si="3"/>
        <v>23.914285714285715</v>
      </c>
      <c r="D33" s="103">
        <f t="shared" si="3"/>
        <v>22.32</v>
      </c>
      <c r="E33" s="103">
        <f t="shared" si="3"/>
        <v>17.714285714285715</v>
      </c>
      <c r="F33" s="103">
        <f t="shared" si="3"/>
        <v>15.73134328358209</v>
      </c>
      <c r="G33" s="103"/>
    </row>
    <row r="34" spans="1:21">
      <c r="A34" s="104" t="s">
        <v>207</v>
      </c>
      <c r="B34" s="103">
        <f t="shared" si="3"/>
        <v>15.615384615384615</v>
      </c>
      <c r="C34" s="103">
        <f t="shared" si="3"/>
        <v>15.979591836734693</v>
      </c>
      <c r="D34" s="103">
        <f t="shared" si="3"/>
        <v>17.021739130434781</v>
      </c>
      <c r="E34" s="103">
        <f t="shared" si="3"/>
        <v>12.509803921568627</v>
      </c>
      <c r="F34" s="103">
        <f t="shared" si="3"/>
        <v>10.955555555555556</v>
      </c>
      <c r="G34" s="103"/>
    </row>
    <row r="35" spans="1:21">
      <c r="A35" s="104" t="s">
        <v>208</v>
      </c>
      <c r="B35" s="103">
        <f t="shared" si="3"/>
        <v>8.4</v>
      </c>
      <c r="C35" s="103">
        <f t="shared" si="3"/>
        <v>9.2195121951219505</v>
      </c>
      <c r="D35" s="103">
        <f t="shared" si="3"/>
        <v>9.4499999999999993</v>
      </c>
      <c r="E35" s="103">
        <f t="shared" si="3"/>
        <v>12.833333333333334</v>
      </c>
      <c r="F35" s="103">
        <f t="shared" si="3"/>
        <v>7.9333333333333336</v>
      </c>
      <c r="G35" s="103"/>
    </row>
    <row r="36" spans="1:21">
      <c r="A36" s="104" t="s">
        <v>209</v>
      </c>
      <c r="B36" s="103">
        <f t="shared" si="3"/>
        <v>6.3</v>
      </c>
      <c r="C36" s="103">
        <f t="shared" si="3"/>
        <v>6.9428571428571431</v>
      </c>
      <c r="D36" s="103">
        <f t="shared" si="3"/>
        <v>7.1470588235294121</v>
      </c>
      <c r="E36" s="103">
        <f t="shared" si="3"/>
        <v>7.0714285714285712</v>
      </c>
      <c r="F36" s="103">
        <f t="shared" si="3"/>
        <v>6.6521739130434785</v>
      </c>
      <c r="G36" s="103"/>
    </row>
    <row r="37" spans="1:21">
      <c r="B37" s="103"/>
      <c r="C37" s="103"/>
      <c r="D37" s="103"/>
      <c r="E37" s="103"/>
      <c r="F37" s="103"/>
      <c r="G37" s="103"/>
    </row>
    <row r="38" spans="1:21">
      <c r="A38" s="186" t="s">
        <v>446</v>
      </c>
      <c r="B38" s="153" t="s">
        <v>268</v>
      </c>
      <c r="C38" s="153" t="s">
        <v>269</v>
      </c>
      <c r="D38" s="153" t="s">
        <v>270</v>
      </c>
      <c r="E38" s="153" t="s">
        <v>271</v>
      </c>
      <c r="F38" s="153" t="s">
        <v>272</v>
      </c>
      <c r="G38" s="153"/>
      <c r="H38" s="141"/>
      <c r="I38" s="224" t="s">
        <v>546</v>
      </c>
      <c r="J38" s="225" t="s">
        <v>268</v>
      </c>
      <c r="K38" s="225" t="s">
        <v>269</v>
      </c>
      <c r="L38" s="225" t="s">
        <v>270</v>
      </c>
      <c r="M38" s="225" t="s">
        <v>271</v>
      </c>
      <c r="N38" s="226" t="s">
        <v>272</v>
      </c>
      <c r="P38" s="171" t="s">
        <v>546</v>
      </c>
      <c r="Q38" s="172" t="s">
        <v>268</v>
      </c>
      <c r="R38" s="172" t="s">
        <v>269</v>
      </c>
      <c r="S38" s="172" t="s">
        <v>270</v>
      </c>
      <c r="T38" s="172" t="s">
        <v>271</v>
      </c>
      <c r="U38" s="173" t="s">
        <v>272</v>
      </c>
    </row>
    <row r="39" spans="1:21">
      <c r="A39" s="104" t="s">
        <v>206</v>
      </c>
      <c r="B39" s="103">
        <f t="shared" ref="B39:F42" si="4">B20/B33</f>
        <v>0.5606758832565284</v>
      </c>
      <c r="C39" s="103">
        <f t="shared" si="4"/>
        <v>0.79450418160095582</v>
      </c>
      <c r="D39" s="103">
        <f t="shared" si="4"/>
        <v>0.62724014336917566</v>
      </c>
      <c r="E39" s="103">
        <f t="shared" si="4"/>
        <v>0.39516129032258063</v>
      </c>
      <c r="F39" s="103">
        <f t="shared" si="4"/>
        <v>0.76280834914611007</v>
      </c>
      <c r="G39" s="103"/>
      <c r="I39" s="228" t="s">
        <v>206</v>
      </c>
      <c r="J39" s="46">
        <v>0.5606758832565284</v>
      </c>
      <c r="K39" s="47">
        <v>0.79450418160095582</v>
      </c>
      <c r="L39" s="47">
        <v>0.62724014336917566</v>
      </c>
      <c r="M39" s="47">
        <v>0.39516129032258063</v>
      </c>
      <c r="N39" s="48">
        <v>0.76280834914611007</v>
      </c>
      <c r="P39" s="174" t="s">
        <v>206</v>
      </c>
      <c r="Q39" s="363">
        <v>0.5606758832565284</v>
      </c>
      <c r="R39" s="364">
        <v>0.79450418160095582</v>
      </c>
      <c r="S39" s="364">
        <v>0.62724014336917566</v>
      </c>
      <c r="T39" s="364">
        <v>0.39516129032258063</v>
      </c>
      <c r="U39" s="365">
        <v>0.76280834914611007</v>
      </c>
    </row>
    <row r="40" spans="1:21">
      <c r="A40" s="104" t="s">
        <v>207</v>
      </c>
      <c r="B40" s="103">
        <f t="shared" si="4"/>
        <v>0.70443349753694584</v>
      </c>
      <c r="C40" s="103">
        <f t="shared" si="4"/>
        <v>0.438058748403576</v>
      </c>
      <c r="D40" s="103">
        <f t="shared" si="4"/>
        <v>0.58748403575989783</v>
      </c>
      <c r="E40" s="103">
        <f t="shared" si="4"/>
        <v>0</v>
      </c>
      <c r="F40" s="103">
        <f t="shared" si="4"/>
        <v>9.1277890466531439E-2</v>
      </c>
      <c r="G40" s="103"/>
      <c r="I40" s="228" t="s">
        <v>207</v>
      </c>
      <c r="J40" s="49">
        <v>0.70443349753694584</v>
      </c>
      <c r="K40" s="50">
        <v>0.438058748403576</v>
      </c>
      <c r="L40" s="50">
        <v>0.58748403575989783</v>
      </c>
      <c r="M40" s="50">
        <v>0</v>
      </c>
      <c r="N40" s="51">
        <v>9.1277890466531439E-2</v>
      </c>
      <c r="P40" s="174" t="s">
        <v>207</v>
      </c>
      <c r="Q40" s="366">
        <v>0.70443349753694584</v>
      </c>
      <c r="R40" s="367">
        <v>0.438058748403576</v>
      </c>
      <c r="S40" s="367">
        <v>0.58748403575989783</v>
      </c>
      <c r="T40" s="367">
        <v>0</v>
      </c>
      <c r="U40" s="368">
        <v>9.1277890466531439E-2</v>
      </c>
    </row>
    <row r="41" spans="1:21">
      <c r="A41" s="104" t="s">
        <v>208</v>
      </c>
      <c r="B41" s="103">
        <f t="shared" si="4"/>
        <v>0</v>
      </c>
      <c r="C41" s="103">
        <f t="shared" si="4"/>
        <v>0</v>
      </c>
      <c r="D41" s="103">
        <f t="shared" si="4"/>
        <v>0.10582010582010583</v>
      </c>
      <c r="E41" s="103">
        <f t="shared" si="4"/>
        <v>0.93506493506493504</v>
      </c>
      <c r="F41" s="103">
        <f t="shared" si="4"/>
        <v>0.12605042016806722</v>
      </c>
      <c r="G41" s="103"/>
      <c r="I41" s="228" t="s">
        <v>208</v>
      </c>
      <c r="J41" s="49">
        <v>0</v>
      </c>
      <c r="K41" s="50">
        <v>0</v>
      </c>
      <c r="L41" s="50">
        <v>0.10582010582010583</v>
      </c>
      <c r="M41" s="50">
        <v>0.93506493506493504</v>
      </c>
      <c r="N41" s="51">
        <v>0.12605042016806722</v>
      </c>
      <c r="P41" s="174" t="s">
        <v>208</v>
      </c>
      <c r="Q41" s="366">
        <v>0</v>
      </c>
      <c r="R41" s="367">
        <v>0</v>
      </c>
      <c r="S41" s="367">
        <v>0.10582010582010583</v>
      </c>
      <c r="T41" s="367">
        <v>0.93506493506493504</v>
      </c>
      <c r="U41" s="368">
        <v>0.12605042016806722</v>
      </c>
    </row>
    <row r="42" spans="1:21">
      <c r="A42" s="104" t="s">
        <v>209</v>
      </c>
      <c r="B42" s="103">
        <f t="shared" si="4"/>
        <v>0</v>
      </c>
      <c r="C42" s="103">
        <f t="shared" si="4"/>
        <v>0.14403292181069957</v>
      </c>
      <c r="D42" s="103">
        <f t="shared" si="4"/>
        <v>0.27983539094650206</v>
      </c>
      <c r="E42" s="103">
        <f t="shared" si="4"/>
        <v>0.42424242424242425</v>
      </c>
      <c r="F42" s="103">
        <f t="shared" si="4"/>
        <v>0.45098039215686275</v>
      </c>
      <c r="G42" s="103"/>
      <c r="I42" s="230" t="s">
        <v>209</v>
      </c>
      <c r="J42" s="52">
        <v>0</v>
      </c>
      <c r="K42" s="53">
        <v>0.14403292181069957</v>
      </c>
      <c r="L42" s="53">
        <v>0.27983539094650206</v>
      </c>
      <c r="M42" s="53">
        <v>0.42424242424242425</v>
      </c>
      <c r="N42" s="54">
        <v>0.45098039215686275</v>
      </c>
      <c r="P42" s="175" t="s">
        <v>209</v>
      </c>
      <c r="Q42" s="369">
        <v>0</v>
      </c>
      <c r="R42" s="370">
        <v>0.14403292181069957</v>
      </c>
      <c r="S42" s="370">
        <v>0.27983539094650206</v>
      </c>
      <c r="T42" s="370">
        <v>0.42424242424242425</v>
      </c>
      <c r="U42" s="371">
        <v>0.45098039215686275</v>
      </c>
    </row>
    <row r="43" spans="1:21">
      <c r="B43" s="183"/>
      <c r="C43" s="183"/>
      <c r="D43" s="183"/>
      <c r="E43" s="183"/>
      <c r="F43" s="183"/>
    </row>
    <row r="44" spans="1:21" s="34" customFormat="1">
      <c r="A44" s="153" t="s">
        <v>228</v>
      </c>
      <c r="B44" s="153" t="s">
        <v>268</v>
      </c>
      <c r="C44" s="153" t="s">
        <v>269</v>
      </c>
      <c r="D44" s="153" t="s">
        <v>270</v>
      </c>
      <c r="E44" s="153" t="s">
        <v>271</v>
      </c>
      <c r="F44" s="153" t="s">
        <v>272</v>
      </c>
      <c r="G44" s="29"/>
      <c r="H44" s="83"/>
      <c r="I44" s="224" t="s">
        <v>547</v>
      </c>
      <c r="J44" s="112" t="s">
        <v>268</v>
      </c>
      <c r="K44" s="112" t="s">
        <v>269</v>
      </c>
      <c r="L44" s="112" t="s">
        <v>270</v>
      </c>
      <c r="M44" s="112" t="s">
        <v>271</v>
      </c>
      <c r="N44" s="113" t="s">
        <v>272</v>
      </c>
      <c r="O44" s="141"/>
    </row>
    <row r="45" spans="1:21">
      <c r="A45" s="153" t="s">
        <v>206</v>
      </c>
      <c r="B45" s="103">
        <f t="shared" ref="B45:F45" si="5">B39*2-1</f>
        <v>0.12135176651305679</v>
      </c>
      <c r="C45" s="103">
        <f t="shared" si="5"/>
        <v>0.58900836320191163</v>
      </c>
      <c r="D45" s="103">
        <f t="shared" si="5"/>
        <v>0.25448028673835132</v>
      </c>
      <c r="E45" s="103">
        <f t="shared" si="5"/>
        <v>-0.20967741935483875</v>
      </c>
      <c r="F45" s="103">
        <f t="shared" si="5"/>
        <v>0.52561669829222013</v>
      </c>
      <c r="I45" s="118" t="s">
        <v>206</v>
      </c>
      <c r="J45" s="119">
        <v>0.12135176651305679</v>
      </c>
      <c r="K45" s="120">
        <v>0.58900836320191163</v>
      </c>
      <c r="L45" s="120">
        <v>0.25448028673835132</v>
      </c>
      <c r="M45" s="120">
        <v>-0.20967741935483875</v>
      </c>
      <c r="N45" s="121">
        <v>0.52561669829222013</v>
      </c>
    </row>
    <row r="46" spans="1:21">
      <c r="A46" s="153" t="s">
        <v>207</v>
      </c>
      <c r="B46" s="103">
        <f t="shared" ref="B46:F46" si="6">B40*2-1</f>
        <v>0.40886699507389168</v>
      </c>
      <c r="C46" s="103">
        <f t="shared" si="6"/>
        <v>-0.12388250319284799</v>
      </c>
      <c r="D46" s="103">
        <f t="shared" si="6"/>
        <v>0.17496807151979565</v>
      </c>
      <c r="E46" s="103">
        <f t="shared" si="6"/>
        <v>-1</v>
      </c>
      <c r="F46" s="103">
        <f t="shared" si="6"/>
        <v>-0.81744421906693709</v>
      </c>
      <c r="I46" s="118" t="s">
        <v>207</v>
      </c>
      <c r="J46" s="124">
        <v>0.40886699507389168</v>
      </c>
      <c r="K46" s="125">
        <v>-0.12388250319284799</v>
      </c>
      <c r="L46" s="125">
        <v>0.17496807151979565</v>
      </c>
      <c r="M46" s="125">
        <v>-1</v>
      </c>
      <c r="N46" s="126">
        <v>-0.81744421906693709</v>
      </c>
    </row>
    <row r="47" spans="1:21">
      <c r="A47" s="153" t="s">
        <v>208</v>
      </c>
      <c r="B47" s="103">
        <f t="shared" ref="B47:F47" si="7">B41*2-1</f>
        <v>-1</v>
      </c>
      <c r="C47" s="103">
        <f t="shared" si="7"/>
        <v>-1</v>
      </c>
      <c r="D47" s="103">
        <f t="shared" si="7"/>
        <v>-0.78835978835978837</v>
      </c>
      <c r="E47" s="103">
        <f t="shared" si="7"/>
        <v>0.87012987012987009</v>
      </c>
      <c r="F47" s="103">
        <f t="shared" si="7"/>
        <v>-0.74789915966386555</v>
      </c>
      <c r="I47" s="118" t="s">
        <v>208</v>
      </c>
      <c r="J47" s="124">
        <v>-1</v>
      </c>
      <c r="K47" s="125">
        <v>-1</v>
      </c>
      <c r="L47" s="125">
        <v>-0.78835978835978837</v>
      </c>
      <c r="M47" s="125">
        <v>0.87012987012987009</v>
      </c>
      <c r="N47" s="126">
        <v>-0.74789915966386555</v>
      </c>
    </row>
    <row r="48" spans="1:21">
      <c r="A48" s="153" t="s">
        <v>209</v>
      </c>
      <c r="B48" s="103">
        <f t="shared" ref="B48:F48" si="8">B42*2-1</f>
        <v>-1</v>
      </c>
      <c r="C48" s="103">
        <f t="shared" si="8"/>
        <v>-0.7119341563786008</v>
      </c>
      <c r="D48" s="103">
        <f t="shared" si="8"/>
        <v>-0.44032921810699588</v>
      </c>
      <c r="E48" s="103">
        <f t="shared" si="8"/>
        <v>-0.15151515151515149</v>
      </c>
      <c r="F48" s="103">
        <f t="shared" si="8"/>
        <v>-9.8039215686274495E-2</v>
      </c>
      <c r="I48" s="131" t="s">
        <v>209</v>
      </c>
      <c r="J48" s="132">
        <v>-1</v>
      </c>
      <c r="K48" s="133">
        <v>-0.7119341563786008</v>
      </c>
      <c r="L48" s="133">
        <v>-0.44032921810699588</v>
      </c>
      <c r="M48" s="133">
        <v>-0.15151515151515149</v>
      </c>
      <c r="N48" s="134">
        <v>-9.8039215686274495E-2</v>
      </c>
    </row>
    <row r="49" spans="1:21">
      <c r="A49" s="104"/>
      <c r="B49" s="103"/>
      <c r="C49" s="103"/>
      <c r="D49" s="103"/>
      <c r="E49" s="103"/>
      <c r="F49" s="103"/>
      <c r="G49" s="103"/>
    </row>
    <row r="50" spans="1:21">
      <c r="A50" s="157" t="s">
        <v>444</v>
      </c>
      <c r="B50" s="153" t="s">
        <v>268</v>
      </c>
      <c r="C50" s="153" t="s">
        <v>269</v>
      </c>
      <c r="D50" s="153" t="s">
        <v>270</v>
      </c>
      <c r="E50" s="153" t="s">
        <v>271</v>
      </c>
      <c r="F50" s="153" t="s">
        <v>272</v>
      </c>
      <c r="G50" s="103"/>
      <c r="I50" s="41" t="s">
        <v>548</v>
      </c>
      <c r="J50" s="172" t="s">
        <v>268</v>
      </c>
      <c r="K50" s="172" t="s">
        <v>269</v>
      </c>
      <c r="L50" s="172" t="s">
        <v>270</v>
      </c>
      <c r="M50" s="172" t="s">
        <v>271</v>
      </c>
      <c r="N50" s="173" t="s">
        <v>272</v>
      </c>
      <c r="P50" s="41" t="s">
        <v>549</v>
      </c>
      <c r="Q50" s="172" t="s">
        <v>268</v>
      </c>
      <c r="R50" s="172" t="s">
        <v>269</v>
      </c>
      <c r="S50" s="172" t="s">
        <v>270</v>
      </c>
      <c r="T50" s="172" t="s">
        <v>271</v>
      </c>
      <c r="U50" s="173" t="s">
        <v>272</v>
      </c>
    </row>
    <row r="51" spans="1:21">
      <c r="A51" s="104" t="s">
        <v>206</v>
      </c>
      <c r="B51" s="103">
        <f>B20-B27</f>
        <v>-1.4210526315789469</v>
      </c>
      <c r="C51" s="103">
        <f t="shared" ref="C51:F51" si="9">C20-C27</f>
        <v>4.3157894736842106</v>
      </c>
      <c r="D51" s="103">
        <f t="shared" si="9"/>
        <v>-0.68421052631578938</v>
      </c>
      <c r="E51" s="103">
        <f t="shared" si="9"/>
        <v>-4.9649122807017552</v>
      </c>
      <c r="F51" s="103">
        <f t="shared" si="9"/>
        <v>2.7543859649122808</v>
      </c>
      <c r="G51" s="103"/>
      <c r="I51" s="174" t="s">
        <v>206</v>
      </c>
      <c r="J51" s="119">
        <v>-1.4210526315789469</v>
      </c>
      <c r="K51" s="120">
        <v>4.3157894736842106</v>
      </c>
      <c r="L51" s="120">
        <v>-0.68421052631578938</v>
      </c>
      <c r="M51" s="120">
        <v>-4.9649122807017552</v>
      </c>
      <c r="N51" s="121">
        <v>2.7543859649122808</v>
      </c>
      <c r="P51" s="174" t="s">
        <v>206</v>
      </c>
      <c r="Q51" s="119">
        <v>0.87557603686635943</v>
      </c>
      <c r="R51" s="120">
        <v>1.2939068100358424</v>
      </c>
      <c r="S51" s="120">
        <v>0.95340501792114696</v>
      </c>
      <c r="T51" s="120">
        <v>0.58504398826979465</v>
      </c>
      <c r="U51" s="121">
        <v>1.2979127134724857</v>
      </c>
    </row>
    <row r="52" spans="1:21">
      <c r="A52" s="104" t="s">
        <v>207</v>
      </c>
      <c r="B52" s="103">
        <f t="shared" ref="B52:F52" si="10">B21-B28</f>
        <v>5.6578947368421053</v>
      </c>
      <c r="C52" s="103">
        <f t="shared" si="10"/>
        <v>0.13157894736842124</v>
      </c>
      <c r="D52" s="103">
        <f t="shared" si="10"/>
        <v>3.1315789473684212</v>
      </c>
      <c r="E52" s="103">
        <f t="shared" si="10"/>
        <v>-5.5964912280701755</v>
      </c>
      <c r="F52" s="103">
        <f t="shared" si="10"/>
        <v>-3.3245614035087723</v>
      </c>
      <c r="G52" s="103"/>
      <c r="I52" s="174" t="s">
        <v>207</v>
      </c>
      <c r="J52" s="124">
        <v>5.6578947368421053</v>
      </c>
      <c r="K52" s="125">
        <v>0.13157894736842124</v>
      </c>
      <c r="L52" s="125">
        <v>3.1315789473684212</v>
      </c>
      <c r="M52" s="125">
        <v>-5.5964912280701755</v>
      </c>
      <c r="N52" s="126">
        <v>-3.3245614035087723</v>
      </c>
      <c r="P52" s="174" t="s">
        <v>207</v>
      </c>
      <c r="Q52" s="124">
        <v>2.0591133004926108</v>
      </c>
      <c r="R52" s="125">
        <v>1.0191570881226053</v>
      </c>
      <c r="S52" s="125">
        <v>1.4559386973180077</v>
      </c>
      <c r="T52" s="125">
        <v>0</v>
      </c>
      <c r="U52" s="126">
        <v>0.23123732251521295</v>
      </c>
    </row>
    <row r="53" spans="1:21">
      <c r="A53" s="104" t="s">
        <v>215</v>
      </c>
      <c r="B53" s="103">
        <f t="shared" ref="B53:F53" si="11">B22-B29</f>
        <v>-2.5789473684210527</v>
      </c>
      <c r="C53" s="103">
        <f t="shared" si="11"/>
        <v>-3.3157894736842106</v>
      </c>
      <c r="D53" s="103">
        <f t="shared" si="11"/>
        <v>-2.3157894736842106</v>
      </c>
      <c r="E53" s="103">
        <f t="shared" si="11"/>
        <v>9.2982456140350873</v>
      </c>
      <c r="F53" s="103">
        <f t="shared" si="11"/>
        <v>-1.0877192982456139</v>
      </c>
      <c r="G53" s="103"/>
      <c r="I53" s="174" t="s">
        <v>208</v>
      </c>
      <c r="J53" s="124">
        <v>-2.5789473684210527</v>
      </c>
      <c r="K53" s="125">
        <v>-3.3157894736842106</v>
      </c>
      <c r="L53" s="125">
        <v>-2.3157894736842106</v>
      </c>
      <c r="M53" s="125">
        <v>9.2982456140350873</v>
      </c>
      <c r="N53" s="126">
        <v>-1.0877192982456139</v>
      </c>
      <c r="P53" s="174" t="s">
        <v>208</v>
      </c>
      <c r="Q53" s="124">
        <v>0</v>
      </c>
      <c r="R53" s="125">
        <v>0</v>
      </c>
      <c r="S53" s="125">
        <v>0.30158730158730157</v>
      </c>
      <c r="T53" s="125">
        <v>4.4415584415584419</v>
      </c>
      <c r="U53" s="126">
        <v>0.47899159663865548</v>
      </c>
    </row>
    <row r="54" spans="1:21">
      <c r="A54" s="104" t="s">
        <v>209</v>
      </c>
      <c r="B54" s="103">
        <f t="shared" ref="B54:F54" si="12">B23-B30</f>
        <v>-1.6578947368421053</v>
      </c>
      <c r="C54" s="103">
        <f t="shared" si="12"/>
        <v>-1.1315789473684212</v>
      </c>
      <c r="D54" s="103">
        <f t="shared" si="12"/>
        <v>-0.13157894736842124</v>
      </c>
      <c r="E54" s="103">
        <f t="shared" si="12"/>
        <v>1.263157894736842</v>
      </c>
      <c r="F54" s="103">
        <f t="shared" si="12"/>
        <v>1.6578947368421053</v>
      </c>
      <c r="G54" s="103"/>
      <c r="I54" s="175" t="s">
        <v>209</v>
      </c>
      <c r="J54" s="132">
        <v>-1.6578947368421053</v>
      </c>
      <c r="K54" s="133">
        <v>-1.1315789473684212</v>
      </c>
      <c r="L54" s="133">
        <v>-0.13157894736842124</v>
      </c>
      <c r="M54" s="133">
        <v>1.263157894736842</v>
      </c>
      <c r="N54" s="134">
        <v>1.6578947368421053</v>
      </c>
      <c r="P54" s="175" t="s">
        <v>209</v>
      </c>
      <c r="Q54" s="132">
        <v>0</v>
      </c>
      <c r="R54" s="133">
        <v>0.46913580246913578</v>
      </c>
      <c r="S54" s="133">
        <v>0.93827160493827155</v>
      </c>
      <c r="T54" s="133">
        <v>1.7272727272727273</v>
      </c>
      <c r="U54" s="134">
        <v>2.2352941176470589</v>
      </c>
    </row>
    <row r="55" spans="1:21">
      <c r="A55" s="104"/>
      <c r="B55" s="103"/>
      <c r="C55" s="103"/>
      <c r="D55" s="103"/>
      <c r="E55" s="103"/>
      <c r="F55" s="103"/>
      <c r="G55" s="103"/>
    </row>
    <row r="56" spans="1:21">
      <c r="A56" s="102" t="s">
        <v>545</v>
      </c>
      <c r="B56" s="153" t="s">
        <v>268</v>
      </c>
      <c r="C56" s="153" t="s">
        <v>269</v>
      </c>
      <c r="D56" s="153" t="s">
        <v>270</v>
      </c>
      <c r="E56" s="153" t="s">
        <v>271</v>
      </c>
      <c r="F56" s="153" t="s">
        <v>272</v>
      </c>
      <c r="G56" s="103"/>
    </row>
    <row r="57" spans="1:21">
      <c r="A57" s="104" t="s">
        <v>206</v>
      </c>
      <c r="B57" s="103">
        <f>B20/B27</f>
        <v>0.87557603686635943</v>
      </c>
      <c r="C57" s="103">
        <f t="shared" ref="C57:F57" si="13">C20/C27</f>
        <v>1.2939068100358424</v>
      </c>
      <c r="D57" s="103">
        <f t="shared" si="13"/>
        <v>0.95340501792114696</v>
      </c>
      <c r="E57" s="103">
        <f t="shared" si="13"/>
        <v>0.58504398826979465</v>
      </c>
      <c r="F57" s="103">
        <f t="shared" si="13"/>
        <v>1.2979127134724857</v>
      </c>
      <c r="G57" s="103"/>
    </row>
    <row r="58" spans="1:21">
      <c r="A58" s="104" t="s">
        <v>207</v>
      </c>
      <c r="B58" s="103">
        <f t="shared" ref="B58:F58" si="14">B21/B28</f>
        <v>2.0591133004926108</v>
      </c>
      <c r="C58" s="103">
        <f t="shared" si="14"/>
        <v>1.0191570881226053</v>
      </c>
      <c r="D58" s="103">
        <f t="shared" si="14"/>
        <v>1.4559386973180077</v>
      </c>
      <c r="E58" s="103">
        <f t="shared" si="14"/>
        <v>0</v>
      </c>
      <c r="F58" s="103">
        <f t="shared" si="14"/>
        <v>0.23123732251521295</v>
      </c>
      <c r="G58" s="103"/>
    </row>
    <row r="59" spans="1:21">
      <c r="A59" s="104" t="s">
        <v>215</v>
      </c>
      <c r="B59" s="103">
        <f t="shared" ref="B59:F59" si="15">B22/B29</f>
        <v>0</v>
      </c>
      <c r="C59" s="103">
        <f t="shared" si="15"/>
        <v>0</v>
      </c>
      <c r="D59" s="103">
        <f t="shared" si="15"/>
        <v>0.30158730158730157</v>
      </c>
      <c r="E59" s="103">
        <f t="shared" si="15"/>
        <v>4.4415584415584419</v>
      </c>
      <c r="F59" s="103">
        <f t="shared" si="15"/>
        <v>0.47899159663865548</v>
      </c>
      <c r="G59" s="103"/>
    </row>
    <row r="60" spans="1:21">
      <c r="A60" s="104" t="s">
        <v>209</v>
      </c>
      <c r="B60" s="103">
        <f t="shared" ref="B60:F60" si="16">B23/B30</f>
        <v>0</v>
      </c>
      <c r="C60" s="103">
        <f t="shared" si="16"/>
        <v>0.46913580246913578</v>
      </c>
      <c r="D60" s="103">
        <f t="shared" si="16"/>
        <v>0.93827160493827155</v>
      </c>
      <c r="E60" s="103">
        <f t="shared" si="16"/>
        <v>1.7272727272727273</v>
      </c>
      <c r="F60" s="103">
        <f t="shared" si="16"/>
        <v>2.2352941176470589</v>
      </c>
      <c r="G60" s="103"/>
    </row>
    <row r="61" spans="1:21">
      <c r="A61" s="104"/>
      <c r="B61" s="103"/>
      <c r="C61" s="103"/>
      <c r="D61" s="103"/>
      <c r="E61" s="103"/>
      <c r="F61" s="103"/>
      <c r="G61" s="103"/>
    </row>
    <row r="62" spans="1:21" s="34" customFormat="1">
      <c r="A62" s="157" t="s">
        <v>445</v>
      </c>
      <c r="B62" s="153" t="s">
        <v>268</v>
      </c>
      <c r="C62" s="153" t="s">
        <v>269</v>
      </c>
      <c r="D62" s="153" t="s">
        <v>270</v>
      </c>
      <c r="E62" s="153" t="s">
        <v>271</v>
      </c>
      <c r="F62" s="153" t="s">
        <v>272</v>
      </c>
      <c r="G62" s="153"/>
      <c r="H62" s="141"/>
      <c r="I62" s="41" t="s">
        <v>550</v>
      </c>
      <c r="J62" s="172" t="s">
        <v>268</v>
      </c>
      <c r="K62" s="172" t="s">
        <v>269</v>
      </c>
      <c r="L62" s="172" t="s">
        <v>270</v>
      </c>
      <c r="M62" s="172" t="s">
        <v>271</v>
      </c>
      <c r="N62" s="173" t="s">
        <v>272</v>
      </c>
      <c r="O62" s="141"/>
    </row>
    <row r="63" spans="1:21">
      <c r="A63" s="104" t="s">
        <v>206</v>
      </c>
      <c r="B63" s="103">
        <f t="shared" ref="B63:F66" si="17">(B20-B27)/B27</f>
        <v>-0.12442396313364051</v>
      </c>
      <c r="C63" s="103">
        <f t="shared" si="17"/>
        <v>0.29390681003584229</v>
      </c>
      <c r="D63" s="103">
        <f t="shared" si="17"/>
        <v>-4.6594982078853042E-2</v>
      </c>
      <c r="E63" s="103">
        <f t="shared" si="17"/>
        <v>-0.4149560117302053</v>
      </c>
      <c r="F63" s="103">
        <f t="shared" si="17"/>
        <v>0.29791271347248577</v>
      </c>
      <c r="G63" s="103"/>
      <c r="I63" s="174" t="s">
        <v>206</v>
      </c>
      <c r="J63" s="119">
        <v>-0.12442396313364051</v>
      </c>
      <c r="K63" s="120">
        <v>0.29390681003584229</v>
      </c>
      <c r="L63" s="120">
        <v>-4.6594982078853042E-2</v>
      </c>
      <c r="M63" s="120">
        <v>-0.4149560117302053</v>
      </c>
      <c r="N63" s="121">
        <v>0.29791271347248577</v>
      </c>
    </row>
    <row r="64" spans="1:21">
      <c r="A64" s="104" t="s">
        <v>207</v>
      </c>
      <c r="B64" s="103">
        <f t="shared" si="17"/>
        <v>1.0591133004926108</v>
      </c>
      <c r="C64" s="103">
        <f t="shared" si="17"/>
        <v>1.915708812260539E-2</v>
      </c>
      <c r="D64" s="103">
        <f t="shared" si="17"/>
        <v>0.45593869731800768</v>
      </c>
      <c r="E64" s="103">
        <f t="shared" si="17"/>
        <v>-1</v>
      </c>
      <c r="F64" s="103">
        <f t="shared" si="17"/>
        <v>-0.76876267748478699</v>
      </c>
      <c r="G64" s="103"/>
      <c r="I64" s="174" t="s">
        <v>207</v>
      </c>
      <c r="J64" s="124">
        <v>1.0591133004926108</v>
      </c>
      <c r="K64" s="125">
        <v>1.915708812260539E-2</v>
      </c>
      <c r="L64" s="125">
        <v>0.45593869731800768</v>
      </c>
      <c r="M64" s="125">
        <v>-1</v>
      </c>
      <c r="N64" s="126">
        <v>-0.76876267748478699</v>
      </c>
    </row>
    <row r="65" spans="1:14">
      <c r="A65" s="104" t="s">
        <v>208</v>
      </c>
      <c r="B65" s="103">
        <f t="shared" si="17"/>
        <v>-1</v>
      </c>
      <c r="C65" s="103">
        <f t="shared" si="17"/>
        <v>-1</v>
      </c>
      <c r="D65" s="103">
        <f t="shared" si="17"/>
        <v>-0.69841269841269837</v>
      </c>
      <c r="E65" s="103">
        <f t="shared" si="17"/>
        <v>3.4415584415584415</v>
      </c>
      <c r="F65" s="103">
        <f t="shared" si="17"/>
        <v>-0.52100840336134446</v>
      </c>
      <c r="G65" s="103"/>
      <c r="I65" s="174" t="s">
        <v>208</v>
      </c>
      <c r="J65" s="124">
        <v>-1</v>
      </c>
      <c r="K65" s="125">
        <v>-1</v>
      </c>
      <c r="L65" s="125">
        <v>-0.69841269841269837</v>
      </c>
      <c r="M65" s="125">
        <v>3.4415584415584415</v>
      </c>
      <c r="N65" s="126">
        <v>-0.52100840336134446</v>
      </c>
    </row>
    <row r="66" spans="1:14">
      <c r="A66" s="104" t="s">
        <v>209</v>
      </c>
      <c r="B66" s="103">
        <f t="shared" si="17"/>
        <v>-1</v>
      </c>
      <c r="C66" s="103">
        <f t="shared" si="17"/>
        <v>-0.53086419753086422</v>
      </c>
      <c r="D66" s="103">
        <f t="shared" si="17"/>
        <v>-6.1728395061728475E-2</v>
      </c>
      <c r="E66" s="103">
        <f t="shared" si="17"/>
        <v>0.72727272727272718</v>
      </c>
      <c r="F66" s="103">
        <f t="shared" si="17"/>
        <v>1.2352941176470589</v>
      </c>
      <c r="G66" s="103"/>
      <c r="I66" s="175" t="s">
        <v>209</v>
      </c>
      <c r="J66" s="132">
        <v>-1</v>
      </c>
      <c r="K66" s="133">
        <v>-0.53086419753086422</v>
      </c>
      <c r="L66" s="133">
        <v>-6.1728395061728475E-2</v>
      </c>
      <c r="M66" s="133">
        <v>0.72727272727272718</v>
      </c>
      <c r="N66" s="134">
        <v>1.2352941176470589</v>
      </c>
    </row>
    <row r="67" spans="1:14">
      <c r="B67" s="103"/>
      <c r="C67" s="103"/>
      <c r="D67" s="103"/>
      <c r="E67" s="103"/>
      <c r="F67" s="103"/>
      <c r="G67" s="103"/>
    </row>
  </sheetData>
  <phoneticPr fontId="2"/>
  <conditionalFormatting sqref="B6:E7 E4:E5">
    <cfRule type="dataBar" priority="8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{AC674465-5D17-42FD-9265-234269A23AF1}</x14:id>
        </ext>
      </extLst>
    </cfRule>
  </conditionalFormatting>
  <conditionalFormatting sqref="B13:D14">
    <cfRule type="dataBar" priority="7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{A83B8705-3C30-42BB-B89A-B3690E8BC73D}</x14:id>
        </ext>
      </extLst>
    </cfRule>
  </conditionalFormatting>
  <conditionalFormatting sqref="B9:D11">
    <cfRule type="dataBar" priority="2047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{B483FADE-9133-412C-9CEC-1598539CB9EA}</x14:id>
        </ext>
      </extLst>
    </cfRule>
  </conditionalFormatting>
  <conditionalFormatting sqref="B4:D5">
    <cfRule type="dataBar" priority="2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{E9EFDAA4-97C2-4BFF-8F0B-ECCC91C18C44}</x14:id>
        </ext>
      </extLst>
    </cfRule>
  </conditionalFormatting>
  <conditionalFormatting sqref="B20:F23">
    <cfRule type="dataBar" priority="8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{A1484C78-B16C-48DA-A1E2-C878399E4A52}</x14:id>
        </ext>
      </extLst>
    </cfRule>
  </conditionalFormatting>
  <conditionalFormatting sqref="B20:F23">
    <cfRule type="dataBar" priority="9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{04E540FB-E74F-4C74-A559-6006564BA84F}</x14:id>
        </ext>
      </extLst>
    </cfRule>
  </conditionalFormatting>
  <conditionalFormatting sqref="B43:F43">
    <cfRule type="dataBar" priority="5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{34037B9D-8B72-413D-B4D1-D179CFF1157B}</x14:id>
        </ext>
      </extLst>
    </cfRule>
  </conditionalFormatting>
  <conditionalFormatting sqref="A44:F48 B32:G42">
    <cfRule type="dataBar" priority="6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{0C85A717-3C6E-48C6-958A-B4B62BD82650}</x14:id>
        </ext>
      </extLst>
    </cfRule>
  </conditionalFormatting>
  <conditionalFormatting sqref="A44:F48 B32:G42">
    <cfRule type="dataBar" priority="7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{E175A8CD-565E-4CA1-BF64-5B852043C9EC}</x14:id>
        </ext>
      </extLst>
    </cfRule>
  </conditionalFormatting>
  <conditionalFormatting sqref="B50:F54">
    <cfRule type="dataBar" priority="3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{9FB169DA-0A96-4250-A656-E0A260F84A40}</x14:id>
        </ext>
      </extLst>
    </cfRule>
  </conditionalFormatting>
  <conditionalFormatting sqref="B50:F54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{584405B5-7907-40B5-99BB-AF893E62610B}</x14:id>
        </ext>
      </extLst>
    </cfRule>
  </conditionalFormatting>
  <conditionalFormatting sqref="B56:F60">
    <cfRule type="dataBar" priority="1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{83A1767E-60BB-40C0-B818-48D3C8277775}</x14:id>
        </ext>
      </extLst>
    </cfRule>
  </conditionalFormatting>
  <conditionalFormatting sqref="B56:F60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{199B019D-4083-44FD-8896-FCE74B5613EE}</x14:id>
        </ext>
      </extLst>
    </cfRule>
  </conditionalFormatting>
  <conditionalFormatting sqref="B27:G31 B49:G49 B55:G55 G50:G54 B61:G67 G56:G60">
    <cfRule type="dataBar" priority="2144">
      <dataBar>
        <cfvo type="min"/>
        <cfvo type="max"/>
        <color theme="4" tint="0.79995117038483843"/>
      </dataBar>
      <extLst>
        <ext xmlns:x14="http://schemas.microsoft.com/office/spreadsheetml/2009/9/main" uri="{B025F937-C7B1-47D3-B67F-A62EFF666E3E}">
          <x14:id>{41A48C1C-AC95-4EE3-804B-C1A87E64A0EA}</x14:id>
        </ext>
      </extLst>
    </cfRule>
  </conditionalFormatting>
  <conditionalFormatting sqref="B27:G31 B49:G49 B55:G55 G50:G54 B61:G67 G56:G60">
    <cfRule type="dataBar" priority="2150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{389737FF-AEEA-4AB4-9111-E30972246B1F}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674465-5D17-42FD-9265-234269A23AF1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B6:E7 E4:E5</xm:sqref>
        </x14:conditionalFormatting>
        <x14:conditionalFormatting xmlns:xm="http://schemas.microsoft.com/office/excel/2006/main">
          <x14:cfRule type="dataBar" id="{A83B8705-3C30-42BB-B89A-B3690E8BC73D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B13:D14</xm:sqref>
        </x14:conditionalFormatting>
        <x14:conditionalFormatting xmlns:xm="http://schemas.microsoft.com/office/excel/2006/main">
          <x14:cfRule type="dataBar" id="{B483FADE-9133-412C-9CEC-1598539CB9E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B9:D11</xm:sqref>
        </x14:conditionalFormatting>
        <x14:conditionalFormatting xmlns:xm="http://schemas.microsoft.com/office/excel/2006/main">
          <x14:cfRule type="dataBar" id="{E9EFDAA4-97C2-4BFF-8F0B-ECCC91C18C44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B4:D5</xm:sqref>
        </x14:conditionalFormatting>
        <x14:conditionalFormatting xmlns:xm="http://schemas.microsoft.com/office/excel/2006/main">
          <x14:cfRule type="dataBar" id="{A1484C78-B16C-48DA-A1E2-C878399E4A52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B20:F23</xm:sqref>
        </x14:conditionalFormatting>
        <x14:conditionalFormatting xmlns:xm="http://schemas.microsoft.com/office/excel/2006/main">
          <x14:cfRule type="dataBar" id="{04E540FB-E74F-4C74-A559-6006564BA8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B20:F23</xm:sqref>
        </x14:conditionalFormatting>
        <x14:conditionalFormatting xmlns:xm="http://schemas.microsoft.com/office/excel/2006/main">
          <x14:cfRule type="dataBar" id="{34037B9D-8B72-413D-B4D1-D179CFF1157B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B43:F43</xm:sqref>
        </x14:conditionalFormatting>
        <x14:conditionalFormatting xmlns:xm="http://schemas.microsoft.com/office/excel/2006/main">
          <x14:cfRule type="dataBar" id="{0C85A717-3C6E-48C6-958A-B4B62BD8265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A44:F48 B32:G42</xm:sqref>
        </x14:conditionalFormatting>
        <x14:conditionalFormatting xmlns:xm="http://schemas.microsoft.com/office/excel/2006/main">
          <x14:cfRule type="dataBar" id="{E175A8CD-565E-4CA1-BF64-5B852043C9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A44:F48 B32:G42</xm:sqref>
        </x14:conditionalFormatting>
        <x14:conditionalFormatting xmlns:xm="http://schemas.microsoft.com/office/excel/2006/main">
          <x14:cfRule type="dataBar" id="{9FB169DA-0A96-4250-A656-E0A260F84A40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B50:F54</xm:sqref>
        </x14:conditionalFormatting>
        <x14:conditionalFormatting xmlns:xm="http://schemas.microsoft.com/office/excel/2006/main">
          <x14:cfRule type="dataBar" id="{584405B5-7907-40B5-99BB-AF893E6261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B50:F54</xm:sqref>
        </x14:conditionalFormatting>
        <x14:conditionalFormatting xmlns:xm="http://schemas.microsoft.com/office/excel/2006/main">
          <x14:cfRule type="dataBar" id="{83A1767E-60BB-40C0-B818-48D3C8277775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B56:F60</xm:sqref>
        </x14:conditionalFormatting>
        <x14:conditionalFormatting xmlns:xm="http://schemas.microsoft.com/office/excel/2006/main">
          <x14:cfRule type="dataBar" id="{199B019D-4083-44FD-8896-FCE74B5613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B56:F60</xm:sqref>
        </x14:conditionalFormatting>
        <x14:conditionalFormatting xmlns:xm="http://schemas.microsoft.com/office/excel/2006/main">
          <x14:cfRule type="dataBar" id="{41A48C1C-AC95-4EE3-804B-C1A87E64A0EA}">
            <x14:dataBar minLength="0" maxLength="100" gradient="0">
              <x14:cfvo type="autoMin"/>
              <x14:cfvo type="autoMax"/>
              <x14:negativeFillColor theme="9" tint="0.79995117038483843"/>
              <x14:axisColor rgb="FF000000"/>
            </x14:dataBar>
          </x14:cfRule>
          <xm:sqref>B27:G31 B49:G49 B55:G55 G50:G54 B61:G67 G56:G60</xm:sqref>
        </x14:conditionalFormatting>
        <x14:conditionalFormatting xmlns:xm="http://schemas.microsoft.com/office/excel/2006/main">
          <x14:cfRule type="dataBar" id="{389737FF-AEEA-4AB4-9111-E30972246B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B27:G31 B49:G49 B55:G55 G50:G54 B61:G67 G56:G60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代表値</vt:lpstr>
      <vt:lpstr>修正得点</vt:lpstr>
      <vt:lpstr>相対得点</vt:lpstr>
      <vt:lpstr>卓立得点</vt:lpstr>
      <vt:lpstr>加重得点</vt:lpstr>
      <vt:lpstr>限定得点</vt:lpstr>
      <vt:lpstr>比較得点</vt:lpstr>
      <vt:lpstr>標準得点</vt:lpstr>
      <vt:lpstr>期待得点</vt:lpstr>
      <vt:lpstr>順位得点</vt:lpstr>
      <vt:lpstr>逸脱得点</vt:lpstr>
      <vt:lpstr>類似得点</vt:lpstr>
      <vt:lpstr>相関係数</vt:lpstr>
      <vt:lpstr>類似係数</vt:lpstr>
      <vt:lpstr>χ二乗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博人</dc:creator>
  <cp:lastModifiedBy>上田 博人</cp:lastModifiedBy>
  <dcterms:created xsi:type="dcterms:W3CDTF">2013-01-12T05:51:34Z</dcterms:created>
  <dcterms:modified xsi:type="dcterms:W3CDTF">2014-06-11T23:34:39Z</dcterms:modified>
</cp:coreProperties>
</file>